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6e59744da862dc/Documentos/Documentação Taberna do Moe/"/>
    </mc:Choice>
  </mc:AlternateContent>
  <xr:revisionPtr revIDLastSave="350" documentId="8_{A2415A01-0F1D-4879-9193-16206F45EB4E}" xr6:coauthVersionLast="47" xr6:coauthVersionMax="47" xr10:uidLastSave="{AA54BBAD-7F13-49DC-9671-349BCE50A2CB}"/>
  <bookViews>
    <workbookView xWindow="-120" yWindow="-120" windowWidth="29040" windowHeight="15720" activeTab="1" xr2:uid="{F5915927-0831-458D-BCAB-598EDA98EE81}"/>
  </bookViews>
  <sheets>
    <sheet name="Pedidos" sheetId="17" r:id="rId1"/>
    <sheet name="Análise Venda" sheetId="16" r:id="rId2"/>
    <sheet name="Estoque" sheetId="15" r:id="rId3"/>
    <sheet name="Compras" sheetId="14" r:id="rId4"/>
    <sheet name="Pricing" sheetId="12" r:id="rId5"/>
    <sheet name="Conversão Marketing" sheetId="18" r:id="rId6"/>
    <sheet name="Petiscos" sheetId="1" r:id="rId7"/>
    <sheet name="Cervejas" sheetId="2" r:id="rId8"/>
    <sheet name="Refrigerantes" sheetId="4" r:id="rId9"/>
    <sheet name="Águas" sheetId="5" r:id="rId10"/>
    <sheet name="Sucos" sheetId="7" r:id="rId11"/>
    <sheet name="Energéticos" sheetId="8" r:id="rId12"/>
    <sheet name="Destilados" sheetId="10" r:id="rId13"/>
    <sheet name="Taxas Serviços" sheetId="13" r:id="rId14"/>
  </sheets>
  <definedNames>
    <definedName name="_xlnm._FilterDatabase" localSheetId="1" hidden="1">'Análise Venda'!$A$2:$G$25</definedName>
    <definedName name="_xlnm._FilterDatabase" localSheetId="7" hidden="1">Cervejas!$A$2:$J$12</definedName>
    <definedName name="_xlnm._FilterDatabase" localSheetId="3" hidden="1">Compras!$A$2:$H$33</definedName>
    <definedName name="_xlnm._FilterDatabase" localSheetId="4" hidden="1">Pricing!$A$2:$I$62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9" i="14" l="1"/>
  <c r="H38" i="14"/>
  <c r="E39" i="14"/>
  <c r="E38" i="14"/>
  <c r="H37" i="14"/>
  <c r="H36" i="14"/>
  <c r="E37" i="14"/>
  <c r="E36" i="14"/>
  <c r="E35" i="14"/>
  <c r="H35" i="14" s="1"/>
  <c r="E34" i="14"/>
  <c r="H34" i="14" s="1"/>
  <c r="F62" i="12"/>
  <c r="F61" i="12"/>
  <c r="F60" i="12"/>
  <c r="F59" i="12"/>
  <c r="F58" i="12"/>
  <c r="F57" i="12"/>
  <c r="F56" i="12"/>
  <c r="F55" i="12"/>
  <c r="F54" i="12"/>
  <c r="F53" i="12"/>
  <c r="F52" i="12"/>
  <c r="F51" i="12"/>
  <c r="F50" i="12"/>
  <c r="F49" i="12"/>
  <c r="F48" i="12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" i="12"/>
  <c r="F4" i="12"/>
  <c r="F3" i="12"/>
  <c r="I62" i="12"/>
  <c r="I61" i="12"/>
  <c r="I60" i="12"/>
  <c r="I59" i="12"/>
  <c r="I58" i="12"/>
  <c r="I57" i="12"/>
  <c r="I56" i="12"/>
  <c r="I55" i="12"/>
  <c r="I54" i="12"/>
  <c r="I53" i="12"/>
  <c r="I52" i="12"/>
  <c r="I51" i="12"/>
  <c r="I50" i="12"/>
  <c r="I49" i="12"/>
  <c r="I48" i="12"/>
  <c r="I47" i="12"/>
  <c r="I46" i="12"/>
  <c r="I45" i="12"/>
  <c r="I44" i="12"/>
  <c r="I43" i="12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5" i="12"/>
  <c r="I4" i="12"/>
  <c r="I3" i="12"/>
  <c r="H62" i="12"/>
  <c r="H61" i="12"/>
  <c r="H60" i="12"/>
  <c r="H59" i="12"/>
  <c r="H58" i="12"/>
  <c r="H57" i="12"/>
  <c r="H56" i="12"/>
  <c r="H55" i="12"/>
  <c r="H54" i="12"/>
  <c r="H53" i="12"/>
  <c r="H52" i="12"/>
  <c r="H51" i="12"/>
  <c r="H50" i="12"/>
  <c r="H49" i="12"/>
  <c r="H48" i="12"/>
  <c r="H47" i="12"/>
  <c r="H46" i="12"/>
  <c r="H45" i="12"/>
  <c r="H44" i="12"/>
  <c r="H43" i="12"/>
  <c r="H42" i="12"/>
  <c r="H41" i="12"/>
  <c r="H40" i="12"/>
  <c r="H39" i="12"/>
  <c r="H38" i="12"/>
  <c r="H37" i="12"/>
  <c r="H36" i="12"/>
  <c r="H35" i="12"/>
  <c r="H34" i="12"/>
  <c r="H33" i="12"/>
  <c r="H32" i="12"/>
  <c r="H31" i="12"/>
  <c r="H30" i="12"/>
  <c r="H29" i="12"/>
  <c r="H28" i="12"/>
  <c r="H27" i="12"/>
  <c r="H26" i="12"/>
  <c r="H25" i="12"/>
  <c r="H24" i="12"/>
  <c r="H23" i="12"/>
  <c r="H22" i="12"/>
  <c r="H21" i="12"/>
  <c r="H20" i="12"/>
  <c r="H19" i="12"/>
  <c r="H18" i="12"/>
  <c r="H17" i="12"/>
  <c r="H16" i="12"/>
  <c r="H15" i="12"/>
  <c r="H14" i="12"/>
  <c r="H13" i="12"/>
  <c r="H12" i="12"/>
  <c r="H11" i="12"/>
  <c r="H10" i="12"/>
  <c r="H9" i="12"/>
  <c r="H8" i="12"/>
  <c r="H7" i="12"/>
  <c r="H6" i="12"/>
  <c r="H5" i="12"/>
  <c r="H4" i="12"/>
  <c r="H3" i="12"/>
  <c r="D30" i="16" l="1"/>
  <c r="E33" i="14"/>
  <c r="C30" i="16" s="1"/>
  <c r="D29" i="16"/>
  <c r="D28" i="16"/>
  <c r="D27" i="16"/>
  <c r="D26" i="16"/>
  <c r="C26" i="16"/>
  <c r="G1" i="14"/>
  <c r="D62" i="12"/>
  <c r="D61" i="12"/>
  <c r="D60" i="12"/>
  <c r="D59" i="12"/>
  <c r="C28" i="15"/>
  <c r="E28" i="15" s="1"/>
  <c r="H31" i="14"/>
  <c r="H30" i="14"/>
  <c r="H29" i="14"/>
  <c r="E32" i="14"/>
  <c r="C31" i="15" s="1"/>
  <c r="E31" i="15" s="1"/>
  <c r="E31" i="14"/>
  <c r="C30" i="15" s="1"/>
  <c r="E30" i="15" s="1"/>
  <c r="E30" i="14"/>
  <c r="C29" i="15" s="1"/>
  <c r="E29" i="15" s="1"/>
  <c r="E29" i="14"/>
  <c r="D58" i="12"/>
  <c r="E15" i="14"/>
  <c r="H15" i="14" s="1"/>
  <c r="E14" i="14"/>
  <c r="H14" i="14" s="1"/>
  <c r="E2" i="18"/>
  <c r="H2" i="18" s="1"/>
  <c r="D57" i="12"/>
  <c r="D56" i="12"/>
  <c r="D55" i="12"/>
  <c r="F22" i="16" s="1"/>
  <c r="D54" i="12"/>
  <c r="D53" i="12"/>
  <c r="D52" i="12"/>
  <c r="D51" i="12"/>
  <c r="D50" i="12"/>
  <c r="D49" i="12"/>
  <c r="D48" i="12"/>
  <c r="F21" i="16"/>
  <c r="F20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D10" i="16"/>
  <c r="D9" i="16"/>
  <c r="D8" i="16"/>
  <c r="D7" i="16"/>
  <c r="D6" i="16"/>
  <c r="D5" i="16"/>
  <c r="D4" i="16"/>
  <c r="D3" i="16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D5" i="15"/>
  <c r="D4" i="15"/>
  <c r="D3" i="15"/>
  <c r="D2" i="15"/>
  <c r="E28" i="14"/>
  <c r="H28" i="14" s="1"/>
  <c r="E27" i="14"/>
  <c r="H27" i="14" s="1"/>
  <c r="E26" i="14"/>
  <c r="H26" i="14" s="1"/>
  <c r="E25" i="14"/>
  <c r="H25" i="14" s="1"/>
  <c r="E24" i="14"/>
  <c r="H24" i="14" s="1"/>
  <c r="E23" i="14"/>
  <c r="H23" i="14" s="1"/>
  <c r="E22" i="14"/>
  <c r="H22" i="14" s="1"/>
  <c r="E21" i="14"/>
  <c r="H21" i="14" s="1"/>
  <c r="E20" i="14"/>
  <c r="H20" i="14" s="1"/>
  <c r="E17" i="14"/>
  <c r="H17" i="14" s="1"/>
  <c r="E19" i="14"/>
  <c r="H19" i="14" s="1"/>
  <c r="E18" i="14"/>
  <c r="H18" i="14" s="1"/>
  <c r="E16" i="14"/>
  <c r="H16" i="14" s="1"/>
  <c r="E13" i="14"/>
  <c r="H13" i="14" s="1"/>
  <c r="E12" i="14"/>
  <c r="H12" i="14" s="1"/>
  <c r="E11" i="14"/>
  <c r="H11" i="14" s="1"/>
  <c r="E10" i="14"/>
  <c r="H10" i="14" s="1"/>
  <c r="E8" i="14"/>
  <c r="H8" i="14" s="1"/>
  <c r="E9" i="14"/>
  <c r="H9" i="14" s="1"/>
  <c r="E7" i="14"/>
  <c r="H7" i="14" s="1"/>
  <c r="E6" i="14"/>
  <c r="H6" i="14" s="1"/>
  <c r="E5" i="14"/>
  <c r="H5" i="14" s="1"/>
  <c r="E4" i="14"/>
  <c r="H4" i="14" s="1"/>
  <c r="E3" i="14"/>
  <c r="H3" i="14" s="1"/>
  <c r="C25" i="16" l="1"/>
  <c r="C28" i="16"/>
  <c r="E28" i="16" s="1"/>
  <c r="H32" i="14"/>
  <c r="H1" i="14" s="1"/>
  <c r="C29" i="16"/>
  <c r="E29" i="16" s="1"/>
  <c r="H33" i="14"/>
  <c r="F27" i="16"/>
  <c r="F26" i="16"/>
  <c r="H26" i="16" s="1"/>
  <c r="F28" i="16"/>
  <c r="F29" i="16"/>
  <c r="F13" i="16"/>
  <c r="C32" i="15"/>
  <c r="E32" i="15" s="1"/>
  <c r="C27" i="16"/>
  <c r="E27" i="16" s="1"/>
  <c r="C26" i="15"/>
  <c r="E26" i="15" s="1"/>
  <c r="E30" i="16"/>
  <c r="C27" i="15"/>
  <c r="E27" i="15" s="1"/>
  <c r="E26" i="16"/>
  <c r="C2" i="15"/>
  <c r="E2" i="15" s="1"/>
  <c r="C3" i="15"/>
  <c r="E3" i="15" s="1"/>
  <c r="C12" i="15"/>
  <c r="E12" i="15" s="1"/>
  <c r="C24" i="15"/>
  <c r="E24" i="15" s="1"/>
  <c r="C25" i="15"/>
  <c r="E25" i="15" s="1"/>
  <c r="C12" i="16"/>
  <c r="E12" i="16" s="1"/>
  <c r="C6" i="16"/>
  <c r="E6" i="16" s="1"/>
  <c r="C13" i="16"/>
  <c r="E13" i="16" s="1"/>
  <c r="C24" i="16"/>
  <c r="E24" i="16" s="1"/>
  <c r="C18" i="16"/>
  <c r="E18" i="16" s="1"/>
  <c r="C15" i="15"/>
  <c r="E15" i="15" s="1"/>
  <c r="C19" i="16"/>
  <c r="E19" i="16" s="1"/>
  <c r="C13" i="15"/>
  <c r="E13" i="15" s="1"/>
  <c r="F23" i="16"/>
  <c r="F24" i="16"/>
  <c r="G22" i="16"/>
  <c r="G20" i="16"/>
  <c r="G21" i="16"/>
  <c r="F14" i="16"/>
  <c r="C7" i="16"/>
  <c r="E7" i="16" s="1"/>
  <c r="C4" i="15"/>
  <c r="E4" i="15" s="1"/>
  <c r="C16" i="15"/>
  <c r="E16" i="15" s="1"/>
  <c r="C8" i="16"/>
  <c r="E8" i="16" s="1"/>
  <c r="C14" i="16"/>
  <c r="E14" i="16" s="1"/>
  <c r="C20" i="16"/>
  <c r="E20" i="16" s="1"/>
  <c r="C5" i="15"/>
  <c r="E5" i="15" s="1"/>
  <c r="C17" i="15"/>
  <c r="E17" i="15" s="1"/>
  <c r="C6" i="15"/>
  <c r="E6" i="15" s="1"/>
  <c r="C18" i="15"/>
  <c r="E18" i="15" s="1"/>
  <c r="C3" i="16"/>
  <c r="E3" i="16" s="1"/>
  <c r="C9" i="16"/>
  <c r="E9" i="16" s="1"/>
  <c r="C21" i="16"/>
  <c r="E21" i="16" s="1"/>
  <c r="C7" i="15"/>
  <c r="E7" i="15" s="1"/>
  <c r="C19" i="15"/>
  <c r="E19" i="15" s="1"/>
  <c r="C8" i="15"/>
  <c r="E8" i="15" s="1"/>
  <c r="C20" i="15"/>
  <c r="E20" i="15" s="1"/>
  <c r="C4" i="16"/>
  <c r="E4" i="16" s="1"/>
  <c r="C10" i="16"/>
  <c r="E10" i="16" s="1"/>
  <c r="C16" i="16"/>
  <c r="E16" i="16" s="1"/>
  <c r="C22" i="16"/>
  <c r="E22" i="16" s="1"/>
  <c r="C9" i="15"/>
  <c r="E9" i="15" s="1"/>
  <c r="C21" i="15"/>
  <c r="E21" i="15" s="1"/>
  <c r="C10" i="15"/>
  <c r="E10" i="15" s="1"/>
  <c r="C22" i="15"/>
  <c r="E22" i="15" s="1"/>
  <c r="C5" i="16"/>
  <c r="E5" i="16" s="1"/>
  <c r="C11" i="16"/>
  <c r="E11" i="16" s="1"/>
  <c r="C17" i="16"/>
  <c r="E17" i="16" s="1"/>
  <c r="C23" i="16"/>
  <c r="E23" i="16" s="1"/>
  <c r="C11" i="15"/>
  <c r="E11" i="15" s="1"/>
  <c r="C23" i="15"/>
  <c r="E23" i="15" s="1"/>
  <c r="E25" i="16"/>
  <c r="H28" i="16" l="1"/>
  <c r="H27" i="16"/>
  <c r="H20" i="16"/>
  <c r="H21" i="16"/>
  <c r="H14" i="16"/>
  <c r="H24" i="16"/>
  <c r="H23" i="16"/>
  <c r="H13" i="16"/>
  <c r="H29" i="16"/>
  <c r="H22" i="16"/>
  <c r="G26" i="16"/>
  <c r="G28" i="16"/>
  <c r="G24" i="16"/>
  <c r="G29" i="16"/>
  <c r="G14" i="16"/>
  <c r="G23" i="16"/>
  <c r="G13" i="16"/>
  <c r="G27" i="16"/>
  <c r="C3" i="2"/>
  <c r="E3" i="2" s="1"/>
  <c r="H1" i="2"/>
  <c r="J12" i="2"/>
  <c r="J11" i="2"/>
  <c r="J10" i="2"/>
  <c r="J9" i="2"/>
  <c r="J8" i="2"/>
  <c r="J7" i="2"/>
  <c r="J6" i="2"/>
  <c r="J5" i="2"/>
  <c r="J4" i="2"/>
  <c r="D9" i="2"/>
  <c r="J3" i="2"/>
  <c r="D10" i="2"/>
  <c r="D5" i="2"/>
  <c r="D4" i="2"/>
  <c r="B4" i="2"/>
  <c r="C4" i="2" s="1"/>
  <c r="I4" i="2" s="1"/>
  <c r="B12" i="2"/>
  <c r="C12" i="2" s="1"/>
  <c r="G12" i="2" s="1"/>
  <c r="B11" i="2"/>
  <c r="C11" i="2" s="1"/>
  <c r="G11" i="2" s="1"/>
  <c r="B10" i="2"/>
  <c r="C10" i="2" s="1"/>
  <c r="E10" i="2" s="1"/>
  <c r="B9" i="2"/>
  <c r="C9" i="2" s="1"/>
  <c r="G9" i="2" s="1"/>
  <c r="C8" i="2"/>
  <c r="E8" i="2" s="1"/>
  <c r="C7" i="2"/>
  <c r="I7" i="2" s="1"/>
  <c r="C6" i="2"/>
  <c r="G6" i="2" s="1"/>
  <c r="C5" i="2"/>
  <c r="I5" i="2" s="1"/>
  <c r="D24" i="12"/>
  <c r="H1" i="1"/>
  <c r="J8" i="1"/>
  <c r="J6" i="1"/>
  <c r="J5" i="1"/>
  <c r="J3" i="1"/>
  <c r="J17" i="1"/>
  <c r="J16" i="1"/>
  <c r="J15" i="1"/>
  <c r="J14" i="1"/>
  <c r="J1" i="1" s="1"/>
  <c r="J13" i="1"/>
  <c r="J12" i="1"/>
  <c r="J11" i="1"/>
  <c r="J10" i="1"/>
  <c r="J9" i="1"/>
  <c r="J7" i="1"/>
  <c r="J4" i="1"/>
  <c r="J22" i="4"/>
  <c r="P23" i="4"/>
  <c r="J20" i="4"/>
  <c r="N24" i="4" s="1"/>
  <c r="C17" i="1"/>
  <c r="E17" i="1" s="1"/>
  <c r="C16" i="1"/>
  <c r="E16" i="1" s="1"/>
  <c r="C15" i="1"/>
  <c r="E15" i="1" s="1"/>
  <c r="C14" i="1"/>
  <c r="E14" i="1" s="1"/>
  <c r="C13" i="1"/>
  <c r="G13" i="1" s="1"/>
  <c r="C12" i="1"/>
  <c r="G12" i="1" s="1"/>
  <c r="C11" i="1"/>
  <c r="C10" i="1"/>
  <c r="C9" i="1"/>
  <c r="E9" i="1" s="1"/>
  <c r="C8" i="1"/>
  <c r="G8" i="1" s="1"/>
  <c r="C7" i="1"/>
  <c r="C6" i="1"/>
  <c r="G6" i="1" s="1"/>
  <c r="C5" i="1"/>
  <c r="C4" i="1"/>
  <c r="G4" i="1" s="1"/>
  <c r="C3" i="1"/>
  <c r="E3" i="1" s="1"/>
  <c r="D17" i="12"/>
  <c r="F7" i="16" s="1"/>
  <c r="D16" i="12"/>
  <c r="D15" i="12"/>
  <c r="F6" i="16" s="1"/>
  <c r="D14" i="12"/>
  <c r="D13" i="12"/>
  <c r="F5" i="16" s="1"/>
  <c r="D12" i="12"/>
  <c r="F4" i="16" s="1"/>
  <c r="D47" i="12"/>
  <c r="F30" i="16" s="1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3" i="12"/>
  <c r="D22" i="12"/>
  <c r="D21" i="12"/>
  <c r="D20" i="12"/>
  <c r="D19" i="12"/>
  <c r="D18" i="12"/>
  <c r="D11" i="12"/>
  <c r="F19" i="16" s="1"/>
  <c r="D10" i="12"/>
  <c r="F18" i="16" s="1"/>
  <c r="D9" i="12"/>
  <c r="D8" i="12"/>
  <c r="D7" i="12"/>
  <c r="D6" i="12"/>
  <c r="F16" i="16" s="1"/>
  <c r="D5" i="12"/>
  <c r="D4" i="12"/>
  <c r="F3" i="16" s="1"/>
  <c r="D3" i="12"/>
  <c r="G5" i="10"/>
  <c r="E5" i="10"/>
  <c r="C5" i="10"/>
  <c r="E4" i="10"/>
  <c r="G4" i="10"/>
  <c r="G1" i="10" s="1"/>
  <c r="C4" i="10"/>
  <c r="G3" i="10"/>
  <c r="E3" i="10"/>
  <c r="E1" i="10" s="1"/>
  <c r="C3" i="10"/>
  <c r="C5" i="8"/>
  <c r="C4" i="8"/>
  <c r="G4" i="8" s="1"/>
  <c r="E4" i="8"/>
  <c r="E7" i="8"/>
  <c r="E8" i="8"/>
  <c r="G7" i="8"/>
  <c r="G8" i="8"/>
  <c r="C8" i="8"/>
  <c r="C7" i="8"/>
  <c r="C6" i="8"/>
  <c r="E6" i="8" s="1"/>
  <c r="E5" i="8"/>
  <c r="C3" i="8"/>
  <c r="E3" i="8" s="1"/>
  <c r="C8" i="7"/>
  <c r="G8" i="7" s="1"/>
  <c r="C7" i="7"/>
  <c r="G7" i="7" s="1"/>
  <c r="C6" i="7"/>
  <c r="G6" i="7" s="1"/>
  <c r="C5" i="7"/>
  <c r="G5" i="7" s="1"/>
  <c r="C4" i="7"/>
  <c r="G4" i="7" s="1"/>
  <c r="C3" i="7"/>
  <c r="G3" i="7" s="1"/>
  <c r="G1" i="5"/>
  <c r="E1" i="5"/>
  <c r="C5" i="5"/>
  <c r="G5" i="5" s="1"/>
  <c r="E6" i="5"/>
  <c r="C6" i="5"/>
  <c r="G6" i="5" s="1"/>
  <c r="C4" i="5"/>
  <c r="G4" i="5" s="1"/>
  <c r="C3" i="5"/>
  <c r="E3" i="5" s="1"/>
  <c r="G1" i="4"/>
  <c r="E1" i="4"/>
  <c r="G7" i="1"/>
  <c r="G5" i="1"/>
  <c r="G12" i="4"/>
  <c r="G8" i="4"/>
  <c r="G7" i="4"/>
  <c r="G6" i="4"/>
  <c r="C13" i="4"/>
  <c r="E13" i="4" s="1"/>
  <c r="E11" i="4"/>
  <c r="C12" i="4"/>
  <c r="E12" i="4" s="1"/>
  <c r="C11" i="4"/>
  <c r="G11" i="4" s="1"/>
  <c r="C9" i="4"/>
  <c r="E9" i="4" s="1"/>
  <c r="C10" i="4"/>
  <c r="G10" i="4" s="1"/>
  <c r="E10" i="4"/>
  <c r="C8" i="4"/>
  <c r="E8" i="4" s="1"/>
  <c r="C7" i="4"/>
  <c r="E7" i="4" s="1"/>
  <c r="C6" i="4"/>
  <c r="E6" i="4" s="1"/>
  <c r="C5" i="4"/>
  <c r="G5" i="4" s="1"/>
  <c r="C4" i="4"/>
  <c r="E4" i="4" s="1"/>
  <c r="C3" i="4"/>
  <c r="E3" i="4" s="1"/>
  <c r="E10" i="1"/>
  <c r="G11" i="1"/>
  <c r="G10" i="1"/>
  <c r="E7" i="1"/>
  <c r="E5" i="1"/>
  <c r="H5" i="16" l="1"/>
  <c r="G5" i="16"/>
  <c r="H16" i="16"/>
  <c r="G16" i="16"/>
  <c r="H6" i="16"/>
  <c r="G6" i="16"/>
  <c r="H4" i="16"/>
  <c r="G4" i="16"/>
  <c r="H18" i="16"/>
  <c r="G18" i="16"/>
  <c r="H19" i="16"/>
  <c r="G19" i="16"/>
  <c r="H7" i="16"/>
  <c r="G7" i="16"/>
  <c r="H3" i="16"/>
  <c r="G3" i="16"/>
  <c r="H30" i="16"/>
  <c r="G30" i="16"/>
  <c r="E6" i="1"/>
  <c r="I4" i="1"/>
  <c r="F17" i="16"/>
  <c r="F8" i="16"/>
  <c r="F12" i="16"/>
  <c r="F10" i="16"/>
  <c r="F11" i="16"/>
  <c r="F9" i="16"/>
  <c r="F15" i="16"/>
  <c r="F25" i="16"/>
  <c r="M13" i="12"/>
  <c r="L13" i="12"/>
  <c r="M9" i="12"/>
  <c r="L9" i="12"/>
  <c r="L10" i="12"/>
  <c r="M10" i="12"/>
  <c r="M11" i="12"/>
  <c r="L11" i="12"/>
  <c r="L14" i="12"/>
  <c r="M14" i="12"/>
  <c r="M15" i="12"/>
  <c r="L15" i="12"/>
  <c r="M12" i="12"/>
  <c r="L12" i="12"/>
  <c r="L16" i="12"/>
  <c r="M16" i="12"/>
  <c r="M17" i="12"/>
  <c r="L17" i="12"/>
  <c r="L4" i="12"/>
  <c r="M4" i="12"/>
  <c r="M5" i="12"/>
  <c r="L5" i="12"/>
  <c r="L8" i="12"/>
  <c r="M8" i="12"/>
  <c r="M6" i="12"/>
  <c r="L6" i="12"/>
  <c r="L7" i="12"/>
  <c r="M7" i="12"/>
  <c r="M3" i="12"/>
  <c r="L3" i="12"/>
  <c r="I9" i="2"/>
  <c r="J1" i="2"/>
  <c r="I8" i="2"/>
  <c r="I10" i="2"/>
  <c r="I11" i="2"/>
  <c r="I6" i="2"/>
  <c r="I12" i="2"/>
  <c r="I3" i="2"/>
  <c r="E4" i="2"/>
  <c r="G4" i="2"/>
  <c r="E5" i="2"/>
  <c r="G5" i="2"/>
  <c r="G7" i="2"/>
  <c r="E7" i="2"/>
  <c r="G8" i="2"/>
  <c r="E6" i="2"/>
  <c r="E11" i="2"/>
  <c r="E12" i="2"/>
  <c r="I17" i="1"/>
  <c r="I13" i="1"/>
  <c r="I15" i="1"/>
  <c r="I12" i="1"/>
  <c r="G16" i="1"/>
  <c r="G15" i="1"/>
  <c r="E13" i="1"/>
  <c r="G17" i="1"/>
  <c r="E8" i="1"/>
  <c r="G14" i="1"/>
  <c r="G3" i="1"/>
  <c r="G6" i="8"/>
  <c r="G5" i="8"/>
  <c r="G1" i="8" s="1"/>
  <c r="G3" i="8"/>
  <c r="E1" i="8"/>
  <c r="E4" i="7"/>
  <c r="E8" i="7"/>
  <c r="E7" i="7"/>
  <c r="E6" i="7"/>
  <c r="G1" i="7"/>
  <c r="E5" i="7"/>
  <c r="E3" i="7"/>
  <c r="E4" i="5"/>
  <c r="G3" i="5"/>
  <c r="E5" i="5"/>
  <c r="G13" i="4"/>
  <c r="G9" i="4"/>
  <c r="G3" i="4"/>
  <c r="E5" i="4"/>
  <c r="G4" i="4"/>
  <c r="E9" i="2"/>
  <c r="G3" i="2"/>
  <c r="G10" i="2"/>
  <c r="E11" i="1"/>
  <c r="E12" i="1"/>
  <c r="E4" i="1"/>
  <c r="G9" i="1"/>
  <c r="G15" i="16" l="1"/>
  <c r="H12" i="16"/>
  <c r="G12" i="16"/>
  <c r="H9" i="16"/>
  <c r="G9" i="16"/>
  <c r="H17" i="16"/>
  <c r="G17" i="16"/>
  <c r="H11" i="16"/>
  <c r="G11" i="16"/>
  <c r="H25" i="16"/>
  <c r="G25" i="16"/>
  <c r="H10" i="16"/>
  <c r="G10" i="16"/>
  <c r="H8" i="16"/>
  <c r="G8" i="16"/>
  <c r="F1" i="12"/>
  <c r="I1" i="12"/>
  <c r="E1" i="1"/>
  <c r="I1" i="2"/>
  <c r="E1" i="2"/>
  <c r="G1" i="2"/>
  <c r="I1" i="1"/>
  <c r="G1" i="1"/>
  <c r="E1" i="7"/>
  <c r="C15" i="16"/>
  <c r="E15" i="16" s="1"/>
  <c r="E1" i="16" s="1"/>
  <c r="C14" i="15"/>
  <c r="E14" i="15" s="1"/>
  <c r="G1" i="16" l="1"/>
  <c r="H15" i="16"/>
  <c r="H1" i="16"/>
</calcChain>
</file>

<file path=xl/sharedStrings.xml><?xml version="1.0" encoding="utf-8"?>
<sst xmlns="http://schemas.openxmlformats.org/spreadsheetml/2006/main" count="678" uniqueCount="136">
  <si>
    <t>Item</t>
  </si>
  <si>
    <t>Preço</t>
  </si>
  <si>
    <t>Salgadinho Torcida Queijo 70G</t>
  </si>
  <si>
    <t>Salamitos Sadia 36G</t>
  </si>
  <si>
    <t xml:space="preserve">
Batata Ruffles Churrasco 115G</t>
  </si>
  <si>
    <t>Salame Italiano Seara 100G</t>
  </si>
  <si>
    <t>Custo</t>
  </si>
  <si>
    <t>Markup</t>
  </si>
  <si>
    <t xml:space="preserve">
Cerveja Heineken 350Ml</t>
  </si>
  <si>
    <t>Cerveja Heineken Zero Álcool 350Ml</t>
  </si>
  <si>
    <t xml:space="preserve">
Coca-Cola Garrafa 2L</t>
  </si>
  <si>
    <t xml:space="preserve">
Coca-Cola Lata 350Ml</t>
  </si>
  <si>
    <t xml:space="preserve">
Pepsi Pet 2Litros</t>
  </si>
  <si>
    <t>Refrigerante Pepsi 350 Ml</t>
  </si>
  <si>
    <t xml:space="preserve">
Refrigerante Antarctica Guaraná 2L</t>
  </si>
  <si>
    <t>Refrigerante Guaraná Antartica Lata 350Ml</t>
  </si>
  <si>
    <t>Refrigerante Fanta Laranja 2L</t>
  </si>
  <si>
    <t>Fanta Laranja 350Ml</t>
  </si>
  <si>
    <t>Refrigerante Sprite Limão 2L</t>
  </si>
  <si>
    <t xml:space="preserve">
Água Tônica Schweppes Lata</t>
  </si>
  <si>
    <t>Água de Coco Ducoco 1L</t>
  </si>
  <si>
    <t>Água de Coco Ducoco 300Ml</t>
  </si>
  <si>
    <t xml:space="preserve">
Água Mineral com Gás Minalba 1,5L</t>
  </si>
  <si>
    <t>Água Mineral sem Gás Minalba Garrafa 1,5L</t>
  </si>
  <si>
    <t>Suco Del Valle Uva Tp 1LL</t>
  </si>
  <si>
    <t>Suco Del Valle Manga 1L</t>
  </si>
  <si>
    <t>Energético Fusion Garrafa 1l</t>
  </si>
  <si>
    <t>Cachaça 51 965ml</t>
  </si>
  <si>
    <t>Vodka Smirnoff Red Original 998ml</t>
  </si>
  <si>
    <t>Gin Gordon's 700ml</t>
  </si>
  <si>
    <t>Fornecedor</t>
  </si>
  <si>
    <t>Assaí</t>
  </si>
  <si>
    <t>Atacadão</t>
  </si>
  <si>
    <t>Salgadinho Fandangos Presunto 140G</t>
  </si>
  <si>
    <t>Salgadinho Cheetos Onda Requeijão 140G</t>
  </si>
  <si>
    <t>Salgadinho Doritos Queijo Nacho 140G</t>
  </si>
  <si>
    <t>Salgadinho Baconzitos 140G</t>
  </si>
  <si>
    <t>Batata Ruffles Original 115G</t>
  </si>
  <si>
    <t>Salgadinho Torcida Cebola 70G</t>
  </si>
  <si>
    <t>Salgadinho Torcida Churrasco 70G</t>
  </si>
  <si>
    <t>Salgadinho Torcida Bacon 70G</t>
  </si>
  <si>
    <t>Salgadinho Torcida Pizza 70G</t>
  </si>
  <si>
    <t>Margem</t>
  </si>
  <si>
    <t>Prezunic</t>
  </si>
  <si>
    <t>Taxa</t>
  </si>
  <si>
    <t>Cerveja Itaipava 550Ml</t>
  </si>
  <si>
    <t>Cerveja Antarctica 473Ml</t>
  </si>
  <si>
    <t>Cerveja Bohemia 473Ml</t>
  </si>
  <si>
    <t>Taxa Serviço</t>
  </si>
  <si>
    <t>Salgadinho Cebolitos Embalagem 140G</t>
  </si>
  <si>
    <t>Extra</t>
  </si>
  <si>
    <t>Refrigerante Sprite Lata</t>
  </si>
  <si>
    <t>Big</t>
  </si>
  <si>
    <t>Suco Del Valle Laranja 1L</t>
  </si>
  <si>
    <t>Suco Del Valle Laranja 200Ml - Kapo</t>
  </si>
  <si>
    <t>Suco de Uva Del Valle 200Ml - Kapo</t>
  </si>
  <si>
    <t>Suco de Maracujá Maguary 1L</t>
  </si>
  <si>
    <t>Carrefour</t>
  </si>
  <si>
    <t>Energético Minotauro Energy Drink - 2 Litros</t>
  </si>
  <si>
    <t>Energético Monster 473ml</t>
  </si>
  <si>
    <t>Energético Monster Mango Loco 473ml</t>
  </si>
  <si>
    <t>Energético Monster Khaos Juice 473ml</t>
  </si>
  <si>
    <t>Energético Monster Dragon Ice 473ml</t>
  </si>
  <si>
    <t>Categoria</t>
  </si>
  <si>
    <t>Petiscos</t>
  </si>
  <si>
    <t>Cervejas</t>
  </si>
  <si>
    <t>Refrigerantes</t>
  </si>
  <si>
    <t>Águas</t>
  </si>
  <si>
    <t>Energéticos</t>
  </si>
  <si>
    <t>Destilados</t>
  </si>
  <si>
    <t>Comentário</t>
  </si>
  <si>
    <t>Concorrente</t>
  </si>
  <si>
    <t>Menor Preço</t>
  </si>
  <si>
    <t>Não há</t>
  </si>
  <si>
    <t>Markup Hipotética</t>
  </si>
  <si>
    <t>Margem Hipotética</t>
  </si>
  <si>
    <t>Nenhum bar oferece, somente conveniência e mercado com entrega de 8,99</t>
  </si>
  <si>
    <t>Status</t>
  </si>
  <si>
    <t>Em vantagem</t>
  </si>
  <si>
    <t>Gelo Letícia</t>
  </si>
  <si>
    <t>Gelo Letícia cobra 22 reais de taxa e entrega de 80 a 90 minutos</t>
  </si>
  <si>
    <t>Pitstop Steakhouse</t>
  </si>
  <si>
    <t>Pitstop com menor preço não atua no mesmo horário, taxa de 7,99, mercados oferecem a um preço pouco menor</t>
  </si>
  <si>
    <t>Pitstop com menor preço não atua no mesmo horário, taxa de 7,99, mercados oferecem a um preço bem menor</t>
  </si>
  <si>
    <t>Nenhum bar/conveniência oferece produto, somente mercados que não se aplicam a concorrência</t>
  </si>
  <si>
    <t>FB Drink</t>
  </si>
  <si>
    <t>Entrega 5 reais - Solução para preço competitivo redução do custo</t>
  </si>
  <si>
    <t>Salgadinho Torcida Calabresa 70G</t>
  </si>
  <si>
    <t>Mercadão</t>
  </si>
  <si>
    <t>Estoque</t>
  </si>
  <si>
    <t>Cerveja Budweiser 473Ml</t>
  </si>
  <si>
    <t>Cerveja Skol Puro Malte 473Ml</t>
  </si>
  <si>
    <t>Cerveja Antarctica 350Ml</t>
  </si>
  <si>
    <t>Cerveja Stella Artois 350Ml</t>
  </si>
  <si>
    <t>Valor Estoque</t>
  </si>
  <si>
    <t>Valor Venda</t>
  </si>
  <si>
    <t/>
  </si>
  <si>
    <t>Cerveja Brahma Duplo Malte 350Ml</t>
  </si>
  <si>
    <t>Qtd</t>
  </si>
  <si>
    <t>Data</t>
  </si>
  <si>
    <t>Salgadinho Fandangos Queijo 140G</t>
  </si>
  <si>
    <t>Batata Ruffles Salsa e Cebola 115G</t>
  </si>
  <si>
    <t>Central</t>
  </si>
  <si>
    <t>Amedoim Japonês Elma Chips 145G</t>
  </si>
  <si>
    <t>Amedoim Ovinho Elma Chips 65G</t>
  </si>
  <si>
    <t>Destilado</t>
  </si>
  <si>
    <t>Marketing</t>
  </si>
  <si>
    <t>Limpeza</t>
  </si>
  <si>
    <t>Amendoim Grelhaditos 26G</t>
  </si>
  <si>
    <t>Água Montenegro 92</t>
  </si>
  <si>
    <t>Embalagem</t>
  </si>
  <si>
    <t>Bolsa Reforçada</t>
  </si>
  <si>
    <t>Preço Médio</t>
  </si>
  <si>
    <t>Quantidade</t>
  </si>
  <si>
    <t>Batata Ruffles Churrasco 115G</t>
  </si>
  <si>
    <t>Data 1</t>
  </si>
  <si>
    <t>Saldo Estoque</t>
  </si>
  <si>
    <t>Preço Venda</t>
  </si>
  <si>
    <t>Venda Total</t>
  </si>
  <si>
    <t>Número</t>
  </si>
  <si>
    <t>Cliente</t>
  </si>
  <si>
    <t>Azeitona verde Rivoli S Caroço</t>
  </si>
  <si>
    <t>Salame Hamburgues Seara 100G</t>
  </si>
  <si>
    <t>Torresmo Plok's 22G</t>
  </si>
  <si>
    <t>Coca-Cola Garrafa 1,5L</t>
  </si>
  <si>
    <t>Refrigerante Antarctica Guaraná 1,5L</t>
  </si>
  <si>
    <t>Refrigerante Fanta Laranja 1,5L</t>
  </si>
  <si>
    <t>Refrigerante Sprite Lemon Fresh 1,5L</t>
  </si>
  <si>
    <t>Taxa Ifood</t>
  </si>
  <si>
    <t>Gin Be</t>
  </si>
  <si>
    <t>Vodka Absolut 1lt</t>
  </si>
  <si>
    <t>Água Crystal 1,5lt sem gás</t>
  </si>
  <si>
    <t>Água Crystal 1,5lt com gás</t>
  </si>
  <si>
    <t>Espumantes</t>
  </si>
  <si>
    <t>Chandon Passion demi-sec rosé</t>
  </si>
  <si>
    <t>Chandon Resérve Brut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</si>
</sst>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/>
    <xf numFmtId="43" fontId="1" fillId="0" borderId="0" xfId="1" applyFont="1"/>
    <xf numFmtId="43" fontId="0" fillId="0" borderId="0" xfId="1" applyFont="1"/>
    <xf numFmtId="2" fontId="0" fillId="0" borderId="0" xfId="0" applyNumberFormat="1"/>
    <xf numFmtId="43" fontId="0" fillId="0" borderId="0" xfId="0" applyNumberFormat="1"/>
    <xf numFmtId="10" fontId="0" fillId="0" borderId="0" xfId="2" applyNumberFormat="1" applyFont="1"/>
    <xf numFmtId="10" fontId="0" fillId="0" borderId="0" xfId="0" applyNumberFormat="1"/>
    <xf numFmtId="2" fontId="1" fillId="0" borderId="0" xfId="0" applyNumberFormat="1" applyFont="1"/>
    <xf numFmtId="9" fontId="0" fillId="0" borderId="0" xfId="0" applyNumberFormat="1"/>
    <xf numFmtId="164" fontId="0" fillId="0" borderId="0" xfId="0" applyNumberFormat="1"/>
    <xf numFmtId="0" fontId="0" fillId="0" borderId="0" xfId="0" applyFill="1"/>
    <xf numFmtId="0" fontId="1" fillId="0" borderId="0" xfId="0" quotePrefix="1" applyFont="1"/>
    <xf numFmtId="14" fontId="0" fillId="0" borderId="0" xfId="0" applyNumberFormat="1"/>
    <xf numFmtId="0" fontId="0" fillId="0" borderId="0" xfId="0" applyFill="1" applyAlignment="1"/>
    <xf numFmtId="43" fontId="0" fillId="0" borderId="0" xfId="1" applyFont="1" applyFill="1"/>
    <xf numFmtId="43" fontId="0" fillId="0" borderId="0" xfId="0" applyNumberFormat="1" applyFill="1"/>
    <xf numFmtId="0" fontId="0" fillId="0" borderId="0" xfId="0" applyNumberFormat="1"/>
    <xf numFmtId="2" fontId="0" fillId="0" borderId="0" xfId="0" applyNumberFormat="1" applyFill="1"/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72F2-18DE-423D-9C5B-36CA07F0C3D8}">
  <dimension ref="A1:F1"/>
  <sheetViews>
    <sheetView showGridLines="0" workbookViewId="0">
      <selection activeCell="E3" sqref="E3"/>
    </sheetView>
  </sheetViews>
  <sheetFormatPr defaultRowHeight="15" x14ac:dyDescent="0.25"/>
  <cols>
    <col min="1" max="1" width="5" bestFit="1" customWidth="1"/>
    <col min="2" max="2" width="8.28515625" bestFit="1" customWidth="1"/>
    <col min="3" max="3" width="7.42578125" bestFit="1" customWidth="1"/>
    <col min="4" max="4" width="5.140625" bestFit="1" customWidth="1"/>
    <col min="5" max="5" width="11.42578125" bestFit="1" customWidth="1"/>
    <col min="6" max="6" width="12.140625" bestFit="1" customWidth="1"/>
  </cols>
  <sheetData>
    <row r="1" spans="1:6" x14ac:dyDescent="0.25">
      <c r="A1" s="2" t="s">
        <v>99</v>
      </c>
      <c r="B1" s="2" t="s">
        <v>119</v>
      </c>
      <c r="C1" s="2" t="s">
        <v>120</v>
      </c>
      <c r="D1" s="2" t="s">
        <v>0</v>
      </c>
      <c r="E1" s="2" t="s">
        <v>113</v>
      </c>
      <c r="F1" s="2" t="s">
        <v>117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37B5B-DABE-47E9-85E9-8616D8960ACE}">
  <sheetPr>
    <tabColor rgb="FF00B0F0"/>
  </sheetPr>
  <dimension ref="A1:H30"/>
  <sheetViews>
    <sheetView showGridLines="0" tabSelected="1" workbookViewId="0">
      <selection activeCell="Q19" sqref="Q19:S20"/>
    </sheetView>
  </sheetViews>
  <sheetFormatPr defaultRowHeight="15" x14ac:dyDescent="0.25"/>
  <cols>
    <col min="1" max="1" width="11.7109375" bestFit="1" customWidth="1"/>
    <col min="2" max="2" width="38.7109375" bestFit="1" customWidth="1"/>
    <col min="3" max="3" width="14.5703125" bestFit="1" customWidth="1"/>
    <col min="4" max="4" width="13.7109375" bestFit="1" customWidth="1"/>
    <col min="5" max="5" width="15.85546875" bestFit="1" customWidth="1"/>
    <col min="6" max="6" width="14.42578125" bestFit="1" customWidth="1"/>
    <col min="7" max="7" width="11.5703125" bestFit="1" customWidth="1"/>
    <col min="8" max="8" width="9.5703125" bestFit="1" customWidth="1"/>
  </cols>
  <sheetData>
    <row r="1" spans="1:8" x14ac:dyDescent="0.25">
      <c r="E1" s="7">
        <f>SUM(E3:E30)</f>
        <v>1072.50675998</v>
      </c>
      <c r="G1" s="7">
        <f>SUM(G3:G30)</f>
        <v>2040.5000000000007</v>
      </c>
      <c r="H1" s="6">
        <f>AVERAGE(H3:H30)</f>
        <v>2.0468732269097027</v>
      </c>
    </row>
    <row r="2" spans="1:8" x14ac:dyDescent="0.25">
      <c r="A2" s="2" t="s">
        <v>63</v>
      </c>
      <c r="B2" s="2" t="s">
        <v>0</v>
      </c>
      <c r="C2" s="2" t="s">
        <v>112</v>
      </c>
      <c r="D2" s="2" t="s">
        <v>113</v>
      </c>
      <c r="E2" s="2" t="s">
        <v>116</v>
      </c>
      <c r="F2" s="2" t="s">
        <v>117</v>
      </c>
      <c r="G2" s="2" t="s">
        <v>118</v>
      </c>
      <c r="H2" s="2" t="s">
        <v>7</v>
      </c>
    </row>
    <row r="3" spans="1:8" s="13" customFormat="1" x14ac:dyDescent="0.25">
      <c r="A3" s="13" t="s">
        <v>64</v>
      </c>
      <c r="B3" s="13" t="s">
        <v>3</v>
      </c>
      <c r="C3" s="17">
        <f>VLOOKUP(B3,Compras!B:E,4,FALSE)</f>
        <v>2</v>
      </c>
      <c r="D3" s="13">
        <f>VLOOKUP(B3,Compras!B:H,6,FALSE)</f>
        <v>8</v>
      </c>
      <c r="E3" s="18">
        <f>D3*C3</f>
        <v>16</v>
      </c>
      <c r="F3" s="17">
        <f>VLOOKUP(B3,Pricing!B:G,6,FALSE)</f>
        <v>5</v>
      </c>
      <c r="G3" s="18">
        <f>F3*D3</f>
        <v>40</v>
      </c>
      <c r="H3" s="20">
        <f>F3/C3</f>
        <v>2.5</v>
      </c>
    </row>
    <row r="4" spans="1:8" s="13" customFormat="1" x14ac:dyDescent="0.25">
      <c r="A4" s="13" t="s">
        <v>64</v>
      </c>
      <c r="B4" s="13" t="s">
        <v>2</v>
      </c>
      <c r="C4" s="17">
        <f>VLOOKUP(B4,Compras!B:E,4,FALSE)</f>
        <v>1.375</v>
      </c>
      <c r="D4" s="13">
        <f>VLOOKUP(B4,Compras!B:H,6,FALSE)</f>
        <v>20</v>
      </c>
      <c r="E4" s="18">
        <f t="shared" ref="E4:E25" si="0">D4*C4</f>
        <v>27.5</v>
      </c>
      <c r="F4" s="17">
        <f>VLOOKUP(B4,Pricing!B:G,6,FALSE)</f>
        <v>3.25</v>
      </c>
      <c r="G4" s="18">
        <f t="shared" ref="G4:G25" si="1">F4*D4</f>
        <v>65</v>
      </c>
      <c r="H4" s="20">
        <f t="shared" ref="H4:H30" si="2">F4/C4</f>
        <v>2.3636363636363638</v>
      </c>
    </row>
    <row r="5" spans="1:8" s="13" customFormat="1" x14ac:dyDescent="0.25">
      <c r="A5" s="13" t="s">
        <v>64</v>
      </c>
      <c r="B5" s="13" t="s">
        <v>38</v>
      </c>
      <c r="C5" s="17">
        <f>VLOOKUP(B5,Compras!B:E,4,FALSE)</f>
        <v>1.375</v>
      </c>
      <c r="D5" s="13">
        <f>VLOOKUP(B5,Compras!B:H,6,FALSE)</f>
        <v>20</v>
      </c>
      <c r="E5" s="18">
        <f t="shared" si="0"/>
        <v>27.5</v>
      </c>
      <c r="F5" s="17">
        <f>VLOOKUP(B5,Pricing!B:G,6,FALSE)</f>
        <v>3.25</v>
      </c>
      <c r="G5" s="18">
        <f t="shared" si="1"/>
        <v>65</v>
      </c>
      <c r="H5" s="20">
        <f t="shared" si="2"/>
        <v>2.3636363636363638</v>
      </c>
    </row>
    <row r="6" spans="1:8" s="13" customFormat="1" x14ac:dyDescent="0.25">
      <c r="A6" s="13" t="s">
        <v>64</v>
      </c>
      <c r="B6" s="13" t="s">
        <v>40</v>
      </c>
      <c r="C6" s="17">
        <f>VLOOKUP(B6,Compras!B:E,4,FALSE)</f>
        <v>1.375</v>
      </c>
      <c r="D6" s="13">
        <f>VLOOKUP(B6,Compras!B:H,6,FALSE)</f>
        <v>20</v>
      </c>
      <c r="E6" s="18">
        <f t="shared" si="0"/>
        <v>27.5</v>
      </c>
      <c r="F6" s="17">
        <f>VLOOKUP(B6,Pricing!B:G,6,FALSE)</f>
        <v>3.25</v>
      </c>
      <c r="G6" s="18">
        <f t="shared" si="1"/>
        <v>65</v>
      </c>
      <c r="H6" s="20">
        <f t="shared" si="2"/>
        <v>2.3636363636363638</v>
      </c>
    </row>
    <row r="7" spans="1:8" s="13" customFormat="1" x14ac:dyDescent="0.25">
      <c r="A7" s="13" t="s">
        <v>64</v>
      </c>
      <c r="B7" s="13" t="s">
        <v>87</v>
      </c>
      <c r="C7" s="17">
        <f>VLOOKUP(B7,Compras!B:E,4,FALSE)</f>
        <v>1.375</v>
      </c>
      <c r="D7" s="13">
        <f>VLOOKUP(B7,Compras!B:H,6,FALSE)</f>
        <v>20</v>
      </c>
      <c r="E7" s="18">
        <f t="shared" si="0"/>
        <v>27.5</v>
      </c>
      <c r="F7" s="17">
        <f>VLOOKUP(B7,Pricing!B:G,6,FALSE)</f>
        <v>3.25</v>
      </c>
      <c r="G7" s="18">
        <f t="shared" si="1"/>
        <v>65</v>
      </c>
      <c r="H7" s="20">
        <f t="shared" si="2"/>
        <v>2.3636363636363638</v>
      </c>
    </row>
    <row r="8" spans="1:8" s="13" customFormat="1" x14ac:dyDescent="0.25">
      <c r="A8" s="13" t="s">
        <v>65</v>
      </c>
      <c r="B8" s="13" t="s">
        <v>8</v>
      </c>
      <c r="C8" s="17">
        <f>VLOOKUP(B8,Compras!B:E,4,FALSE)</f>
        <v>3.4807133333333335</v>
      </c>
      <c r="D8" s="13">
        <f>VLOOKUP(B8,Compras!B:H,6,FALSE)</f>
        <v>30</v>
      </c>
      <c r="E8" s="18">
        <f t="shared" si="0"/>
        <v>104.42140000000001</v>
      </c>
      <c r="F8" s="17">
        <f>VLOOKUP(B8,Pricing!B:G,6,FALSE)</f>
        <v>4.5</v>
      </c>
      <c r="G8" s="18">
        <f t="shared" si="1"/>
        <v>135</v>
      </c>
      <c r="H8" s="20">
        <f t="shared" si="2"/>
        <v>1.2928384411624436</v>
      </c>
    </row>
    <row r="9" spans="1:8" s="13" customFormat="1" x14ac:dyDescent="0.25">
      <c r="A9" s="13" t="s">
        <v>65</v>
      </c>
      <c r="B9" s="13" t="s">
        <v>93</v>
      </c>
      <c r="C9" s="17">
        <f>VLOOKUP(B9,Compras!B:E,4,FALSE)</f>
        <v>2.8736999999999999</v>
      </c>
      <c r="D9" s="13">
        <f>VLOOKUP(B9,Compras!B:H,6,FALSE)</f>
        <v>25</v>
      </c>
      <c r="E9" s="18">
        <f t="shared" si="0"/>
        <v>71.842500000000001</v>
      </c>
      <c r="F9" s="17">
        <f>VLOOKUP(B9,Pricing!B:G,6,FALSE)</f>
        <v>4.5</v>
      </c>
      <c r="G9" s="18">
        <f t="shared" si="1"/>
        <v>112.5</v>
      </c>
      <c r="H9" s="20">
        <f t="shared" si="2"/>
        <v>1.5659254619480114</v>
      </c>
    </row>
    <row r="10" spans="1:8" s="13" customFormat="1" x14ac:dyDescent="0.25">
      <c r="A10" s="13" t="s">
        <v>65</v>
      </c>
      <c r="B10" s="13" t="s">
        <v>90</v>
      </c>
      <c r="C10" s="17">
        <f>VLOOKUP(B10,Compras!B:E,4,FALSE)</f>
        <v>2.4960333333333331</v>
      </c>
      <c r="D10" s="13">
        <f>VLOOKUP(B10,Compras!B:H,6,FALSE)</f>
        <v>30</v>
      </c>
      <c r="E10" s="18">
        <f t="shared" si="0"/>
        <v>74.881</v>
      </c>
      <c r="F10" s="17">
        <f>VLOOKUP(B10,Pricing!B:G,6,FALSE)</f>
        <v>5</v>
      </c>
      <c r="G10" s="18">
        <f t="shared" si="1"/>
        <v>150</v>
      </c>
      <c r="H10" s="20">
        <f t="shared" si="2"/>
        <v>2.0031783763571536</v>
      </c>
    </row>
    <row r="11" spans="1:8" s="13" customFormat="1" x14ac:dyDescent="0.25">
      <c r="A11" s="13" t="s">
        <v>65</v>
      </c>
      <c r="B11" s="13" t="s">
        <v>91</v>
      </c>
      <c r="C11" s="17">
        <f>VLOOKUP(B11,Compras!B:E,4,FALSE)</f>
        <v>3.0385000000000004</v>
      </c>
      <c r="D11" s="13">
        <f>VLOOKUP(B11,Compras!B:H,6,FALSE)</f>
        <v>20</v>
      </c>
      <c r="E11" s="18">
        <f t="shared" si="0"/>
        <v>60.77000000000001</v>
      </c>
      <c r="F11" s="17">
        <f>VLOOKUP(B11,Pricing!B:G,6,FALSE)</f>
        <v>4.5</v>
      </c>
      <c r="G11" s="18">
        <f t="shared" si="1"/>
        <v>90</v>
      </c>
      <c r="H11" s="20">
        <f t="shared" si="2"/>
        <v>1.4809939114694748</v>
      </c>
    </row>
    <row r="12" spans="1:8" s="13" customFormat="1" x14ac:dyDescent="0.25">
      <c r="A12" s="13" t="s">
        <v>65</v>
      </c>
      <c r="B12" s="13" t="s">
        <v>92</v>
      </c>
      <c r="C12" s="17">
        <f>VLOOKUP(B12,Compras!B:E,4,FALSE)</f>
        <v>2.6574</v>
      </c>
      <c r="D12" s="13">
        <f>VLOOKUP(B12,Compras!B:H,6,FALSE)</f>
        <v>36</v>
      </c>
      <c r="E12" s="18">
        <f t="shared" si="0"/>
        <v>95.666399999999996</v>
      </c>
      <c r="F12" s="17">
        <f>VLOOKUP(B12,Pricing!B:G,6,FALSE)</f>
        <v>4</v>
      </c>
      <c r="G12" s="18">
        <f t="shared" si="1"/>
        <v>144</v>
      </c>
      <c r="H12" s="20">
        <f t="shared" si="2"/>
        <v>1.5052306766011891</v>
      </c>
    </row>
    <row r="13" spans="1:8" s="13" customFormat="1" x14ac:dyDescent="0.25">
      <c r="A13" s="13" t="s">
        <v>64</v>
      </c>
      <c r="B13" s="13" t="s">
        <v>122</v>
      </c>
      <c r="C13" s="17">
        <f>VLOOKUP(B13,Compras!B:E,4,FALSE)</f>
        <v>9.606466666666666</v>
      </c>
      <c r="D13" s="13">
        <f>VLOOKUP(B13,Compras!B:H,6,FALSE)</f>
        <v>6</v>
      </c>
      <c r="E13" s="18">
        <f t="shared" si="0"/>
        <v>57.638799999999996</v>
      </c>
      <c r="F13" s="17">
        <f>VLOOKUP(B13,Pricing!B:G,6,FALSE)</f>
        <v>19</v>
      </c>
      <c r="G13" s="18">
        <f t="shared" si="1"/>
        <v>114</v>
      </c>
      <c r="H13" s="20">
        <f t="shared" si="2"/>
        <v>1.9778343754554226</v>
      </c>
    </row>
    <row r="14" spans="1:8" s="13" customFormat="1" x14ac:dyDescent="0.25">
      <c r="A14" s="13" t="s">
        <v>64</v>
      </c>
      <c r="B14" s="13" t="s">
        <v>121</v>
      </c>
      <c r="C14" s="17">
        <f>VLOOKUP(B14,Compras!B:E,4,FALSE)</f>
        <v>4.5358099999999997</v>
      </c>
      <c r="D14" s="13">
        <f>VLOOKUP(B14,Compras!B:H,6,FALSE)</f>
        <v>6</v>
      </c>
      <c r="E14" s="18">
        <f t="shared" si="0"/>
        <v>27.214859999999998</v>
      </c>
      <c r="F14" s="17">
        <f>VLOOKUP(B14,Pricing!B:G,6,FALSE)</f>
        <v>9.9</v>
      </c>
      <c r="G14" s="18">
        <f t="shared" si="1"/>
        <v>59.400000000000006</v>
      </c>
      <c r="H14" s="20">
        <f t="shared" si="2"/>
        <v>2.1826311066821584</v>
      </c>
    </row>
    <row r="15" spans="1:8" s="13" customFormat="1" x14ac:dyDescent="0.25">
      <c r="A15" s="13" t="s">
        <v>64</v>
      </c>
      <c r="B15" s="13" t="s">
        <v>33</v>
      </c>
      <c r="C15" s="17">
        <f>VLOOKUP(B15,Compras!B:E,4,FALSE)</f>
        <v>5.4497999966666661</v>
      </c>
      <c r="D15" s="13">
        <f>VLOOKUP(B15,Compras!B:H,6,FALSE)</f>
        <v>6</v>
      </c>
      <c r="E15" s="18">
        <f t="shared" si="0"/>
        <v>32.698799979999997</v>
      </c>
      <c r="F15" s="17">
        <f>VLOOKUP(B15,Pricing!B:G,6,FALSE)</f>
        <v>9.9</v>
      </c>
      <c r="G15" s="18">
        <f t="shared" si="1"/>
        <v>59.400000000000006</v>
      </c>
      <c r="H15" s="20">
        <f t="shared" si="2"/>
        <v>1.8165804260808229</v>
      </c>
    </row>
    <row r="16" spans="1:8" s="13" customFormat="1" x14ac:dyDescent="0.25">
      <c r="A16" s="13" t="s">
        <v>64</v>
      </c>
      <c r="B16" s="13" t="s">
        <v>34</v>
      </c>
      <c r="C16" s="17">
        <f>VLOOKUP(B16,Compras!B:E,4,FALSE)</f>
        <v>4.7997999999999994</v>
      </c>
      <c r="D16" s="13">
        <f>VLOOKUP(B16,Compras!B:H,6,FALSE)</f>
        <v>6</v>
      </c>
      <c r="E16" s="18">
        <f t="shared" si="0"/>
        <v>28.798799999999996</v>
      </c>
      <c r="F16" s="17">
        <f>VLOOKUP(B16,Pricing!B:G,6,FALSE)</f>
        <v>9.9</v>
      </c>
      <c r="G16" s="18">
        <f t="shared" si="1"/>
        <v>59.400000000000006</v>
      </c>
      <c r="H16" s="20">
        <f t="shared" si="2"/>
        <v>2.0625859410808789</v>
      </c>
    </row>
    <row r="17" spans="1:8" s="13" customFormat="1" x14ac:dyDescent="0.25">
      <c r="A17" s="13" t="s">
        <v>64</v>
      </c>
      <c r="B17" s="13" t="s">
        <v>35</v>
      </c>
      <c r="C17" s="17">
        <f>VLOOKUP(B17,Compras!B:E,4,FALSE)</f>
        <v>6.1731333333333325</v>
      </c>
      <c r="D17" s="13">
        <f>VLOOKUP(B17,Compras!B:H,6,FALSE)</f>
        <v>6</v>
      </c>
      <c r="E17" s="18">
        <f t="shared" si="0"/>
        <v>37.038799999999995</v>
      </c>
      <c r="F17" s="17">
        <f>VLOOKUP(B17,Pricing!B:G,6,FALSE)</f>
        <v>12</v>
      </c>
      <c r="G17" s="18">
        <f t="shared" si="1"/>
        <v>72</v>
      </c>
      <c r="H17" s="20">
        <f t="shared" si="2"/>
        <v>1.9439074700044281</v>
      </c>
    </row>
    <row r="18" spans="1:8" s="13" customFormat="1" x14ac:dyDescent="0.25">
      <c r="A18" s="13" t="s">
        <v>64</v>
      </c>
      <c r="B18" s="13" t="s">
        <v>37</v>
      </c>
      <c r="C18" s="17">
        <f>VLOOKUP(B18,Compras!B:E,4,FALSE)</f>
        <v>5.074466666666666</v>
      </c>
      <c r="D18" s="13">
        <f>VLOOKUP(B18,Compras!B:H,6,FALSE)</f>
        <v>6</v>
      </c>
      <c r="E18" s="18">
        <f t="shared" si="0"/>
        <v>30.446799999999996</v>
      </c>
      <c r="F18" s="17">
        <f>VLOOKUP(B18,Pricing!B:G,6,FALSE)</f>
        <v>9.9</v>
      </c>
      <c r="G18" s="18">
        <f t="shared" si="1"/>
        <v>59.400000000000006</v>
      </c>
      <c r="H18" s="20">
        <f t="shared" si="2"/>
        <v>1.9509439415636458</v>
      </c>
    </row>
    <row r="19" spans="1:8" s="13" customFormat="1" x14ac:dyDescent="0.25">
      <c r="A19" s="13" t="s">
        <v>64</v>
      </c>
      <c r="B19" s="13" t="s">
        <v>114</v>
      </c>
      <c r="C19" s="17">
        <f>VLOOKUP(B19,Compras!B:E,4,FALSE)</f>
        <v>5.074466666666666</v>
      </c>
      <c r="D19" s="13">
        <f>VLOOKUP(B19,Compras!B:H,6,FALSE)</f>
        <v>3</v>
      </c>
      <c r="E19" s="18">
        <f t="shared" si="0"/>
        <v>15.223399999999998</v>
      </c>
      <c r="F19" s="17">
        <f>VLOOKUP(B19,Pricing!B:G,6,FALSE)</f>
        <v>9.9</v>
      </c>
      <c r="G19" s="18">
        <f t="shared" si="1"/>
        <v>29.700000000000003</v>
      </c>
      <c r="H19" s="20">
        <f t="shared" si="2"/>
        <v>1.9509439415636458</v>
      </c>
    </row>
    <row r="20" spans="1:8" s="13" customFormat="1" x14ac:dyDescent="0.25">
      <c r="A20" s="13" t="s">
        <v>64</v>
      </c>
      <c r="B20" s="13" t="s">
        <v>100</v>
      </c>
      <c r="C20" s="17">
        <f>VLOOKUP(B20,Compras!B:E,4,FALSE)</f>
        <v>5.4864666666666659</v>
      </c>
      <c r="D20" s="13">
        <f>VLOOKUP(B20,Compras!B:H,6,FALSE)</f>
        <v>6</v>
      </c>
      <c r="E20" s="18">
        <f t="shared" si="0"/>
        <v>32.918799999999997</v>
      </c>
      <c r="F20" s="17">
        <f>VLOOKUP(B20,Pricing!B:G,6,FALSE)</f>
        <v>9.9</v>
      </c>
      <c r="G20" s="18">
        <f t="shared" si="1"/>
        <v>59.400000000000006</v>
      </c>
      <c r="H20" s="20">
        <f t="shared" si="2"/>
        <v>1.8044400160394671</v>
      </c>
    </row>
    <row r="21" spans="1:8" s="13" customFormat="1" x14ac:dyDescent="0.25">
      <c r="A21" s="13" t="s">
        <v>64</v>
      </c>
      <c r="B21" s="13" t="s">
        <v>101</v>
      </c>
      <c r="C21" s="17">
        <f>VLOOKUP(B21,Compras!B:E,4,FALSE)</f>
        <v>5.074466666666666</v>
      </c>
      <c r="D21" s="13">
        <f>VLOOKUP(B21,Compras!B:H,6,FALSE)</f>
        <v>6</v>
      </c>
      <c r="E21" s="18">
        <f t="shared" si="0"/>
        <v>30.446799999999996</v>
      </c>
      <c r="F21" s="17">
        <f>VLOOKUP(B21,Pricing!B:G,6,FALSE)</f>
        <v>9.9</v>
      </c>
      <c r="G21" s="18">
        <f t="shared" si="1"/>
        <v>59.400000000000006</v>
      </c>
      <c r="H21" s="20">
        <f t="shared" si="2"/>
        <v>1.9509439415636458</v>
      </c>
    </row>
    <row r="22" spans="1:8" s="13" customFormat="1" x14ac:dyDescent="0.25">
      <c r="A22" s="13" t="s">
        <v>64</v>
      </c>
      <c r="B22" s="13" t="s">
        <v>123</v>
      </c>
      <c r="C22" s="17">
        <f>VLOOKUP(B22,Compras!B:E,4,FALSE)</f>
        <v>1.3</v>
      </c>
      <c r="D22" s="13">
        <f>VLOOKUP(B22,Compras!B:H,6,FALSE)</f>
        <v>20</v>
      </c>
      <c r="E22" s="18">
        <f t="shared" si="0"/>
        <v>26</v>
      </c>
      <c r="F22" s="17">
        <f>VLOOKUP(B22,Pricing!B:G,6,FALSE)</f>
        <v>4</v>
      </c>
      <c r="G22" s="18">
        <f t="shared" si="1"/>
        <v>80</v>
      </c>
      <c r="H22" s="20">
        <f t="shared" si="2"/>
        <v>3.0769230769230766</v>
      </c>
    </row>
    <row r="23" spans="1:8" s="13" customFormat="1" x14ac:dyDescent="0.25">
      <c r="A23" s="13" t="s">
        <v>64</v>
      </c>
      <c r="B23" s="13" t="s">
        <v>103</v>
      </c>
      <c r="C23" s="17">
        <f>VLOOKUP(B23,Compras!B:E,4,FALSE)</f>
        <v>4.49</v>
      </c>
      <c r="D23" s="13">
        <f>VLOOKUP(B23,Compras!B:H,6,FALSE)</f>
        <v>11</v>
      </c>
      <c r="E23" s="18">
        <f t="shared" si="0"/>
        <v>49.39</v>
      </c>
      <c r="F23" s="17">
        <f>VLOOKUP(B23,Pricing!B:G,6,FALSE)</f>
        <v>9.9</v>
      </c>
      <c r="G23" s="18">
        <f t="shared" si="1"/>
        <v>108.9</v>
      </c>
      <c r="H23" s="20">
        <f t="shared" si="2"/>
        <v>2.2048997772828507</v>
      </c>
    </row>
    <row r="24" spans="1:8" s="13" customFormat="1" x14ac:dyDescent="0.25">
      <c r="A24" s="13" t="s">
        <v>64</v>
      </c>
      <c r="B24" s="13" t="s">
        <v>104</v>
      </c>
      <c r="C24" s="17">
        <f>VLOOKUP(B24,Compras!B:E,4,FALSE)</f>
        <v>1.99</v>
      </c>
      <c r="D24" s="13">
        <f>VLOOKUP(B24,Compras!B:H,6,FALSE)</f>
        <v>10</v>
      </c>
      <c r="E24" s="18">
        <f t="shared" si="0"/>
        <v>19.899999999999999</v>
      </c>
      <c r="F24" s="17">
        <f>VLOOKUP(B24,Pricing!B:G,6,FALSE)</f>
        <v>5</v>
      </c>
      <c r="G24" s="18">
        <f t="shared" si="1"/>
        <v>50</v>
      </c>
      <c r="H24" s="20">
        <f t="shared" si="2"/>
        <v>2.512562814070352</v>
      </c>
    </row>
    <row r="25" spans="1:8" s="13" customFormat="1" x14ac:dyDescent="0.25">
      <c r="A25" s="13" t="s">
        <v>105</v>
      </c>
      <c r="B25" s="16" t="s">
        <v>27</v>
      </c>
      <c r="C25" s="17">
        <f>VLOOKUP(B25,Compras!B:E,4,FALSE)</f>
        <v>8.49</v>
      </c>
      <c r="D25" s="13">
        <f>VLOOKUP(B25,Compras!B:H,6,FALSE)</f>
        <v>2</v>
      </c>
      <c r="E25" s="18">
        <f t="shared" si="0"/>
        <v>16.98</v>
      </c>
      <c r="F25" s="17">
        <f>VLOOKUP(B25,Pricing!B:G,6,FALSE)</f>
        <v>20</v>
      </c>
      <c r="G25" s="18">
        <f t="shared" si="1"/>
        <v>40</v>
      </c>
      <c r="H25" s="20">
        <f t="shared" si="2"/>
        <v>2.3557126030624262</v>
      </c>
    </row>
    <row r="26" spans="1:8" x14ac:dyDescent="0.25">
      <c r="A26" t="s">
        <v>66</v>
      </c>
      <c r="B26" s="3" t="s">
        <v>124</v>
      </c>
      <c r="C26" s="17">
        <f>VLOOKUP(B26,Compras!B:E,4,FALSE)</f>
        <v>4.6040999999999999</v>
      </c>
      <c r="D26" s="13">
        <f>VLOOKUP(B26,Compras!B:H,6,FALSE)</f>
        <v>6</v>
      </c>
      <c r="E26" s="18">
        <f t="shared" ref="E26:E29" si="3">D26*C26</f>
        <v>27.624600000000001</v>
      </c>
      <c r="F26" s="17">
        <f>VLOOKUP(B26,Pricing!B:G,6,FALSE)</f>
        <v>8</v>
      </c>
      <c r="G26" s="18">
        <f t="shared" ref="G26:G29" si="4">F26*D26</f>
        <v>48</v>
      </c>
      <c r="H26" s="20">
        <f t="shared" si="2"/>
        <v>1.7375817206402988</v>
      </c>
    </row>
    <row r="27" spans="1:8" x14ac:dyDescent="0.25">
      <c r="A27" t="s">
        <v>66</v>
      </c>
      <c r="B27" s="3" t="s">
        <v>125</v>
      </c>
      <c r="C27" s="17">
        <f>VLOOKUP(B27,Compras!B:E,4,FALSE)</f>
        <v>3.3784000000000001</v>
      </c>
      <c r="D27" s="13">
        <f>VLOOKUP(B27,Compras!B:H,6,FALSE)</f>
        <v>6</v>
      </c>
      <c r="E27" s="18">
        <f t="shared" si="3"/>
        <v>20.270400000000002</v>
      </c>
      <c r="F27" s="17">
        <f>VLOOKUP(B27,Pricing!B:G,6,FALSE)</f>
        <v>8</v>
      </c>
      <c r="G27" s="18">
        <f t="shared" si="4"/>
        <v>48</v>
      </c>
      <c r="H27" s="20">
        <f t="shared" si="2"/>
        <v>2.3679848448969927</v>
      </c>
    </row>
    <row r="28" spans="1:8" x14ac:dyDescent="0.25">
      <c r="A28" t="s">
        <v>66</v>
      </c>
      <c r="B28" s="3" t="s">
        <v>126</v>
      </c>
      <c r="C28" s="17">
        <f>VLOOKUP(B28,Compras!B:E,4,FALSE)</f>
        <v>4.3672000000000004</v>
      </c>
      <c r="D28" s="13">
        <f>VLOOKUP(B28,Compras!B:H,6,FALSE)</f>
        <v>6</v>
      </c>
      <c r="E28" s="18">
        <f t="shared" si="3"/>
        <v>26.203200000000002</v>
      </c>
      <c r="F28" s="17">
        <f>VLOOKUP(B28,Pricing!B:G,6,FALSE)</f>
        <v>8</v>
      </c>
      <c r="G28" s="18">
        <f t="shared" si="4"/>
        <v>48</v>
      </c>
      <c r="H28" s="20">
        <f t="shared" si="2"/>
        <v>1.8318373328448432</v>
      </c>
    </row>
    <row r="29" spans="1:8" x14ac:dyDescent="0.25">
      <c r="A29" t="s">
        <v>66</v>
      </c>
      <c r="B29" s="3" t="s">
        <v>127</v>
      </c>
      <c r="C29" s="17">
        <f>VLOOKUP(B29,Compras!B:E,4,FALSE)</f>
        <v>4.3157000000000005</v>
      </c>
      <c r="D29" s="13">
        <f>VLOOKUP(B29,Compras!B:H,6,FALSE)</f>
        <v>6</v>
      </c>
      <c r="E29" s="18">
        <f t="shared" si="3"/>
        <v>25.894200000000005</v>
      </c>
      <c r="F29" s="17">
        <f>VLOOKUP(B29,Pricing!B:G,6,FALSE)</f>
        <v>8</v>
      </c>
      <c r="G29" s="18">
        <f t="shared" si="4"/>
        <v>48</v>
      </c>
      <c r="H29" s="20">
        <f t="shared" si="2"/>
        <v>1.8536969668883376</v>
      </c>
    </row>
    <row r="30" spans="1:8" x14ac:dyDescent="0.25">
      <c r="A30" t="s">
        <v>68</v>
      </c>
      <c r="B30" s="3" t="s">
        <v>26</v>
      </c>
      <c r="C30" s="17">
        <f>VLOOKUP(B30,Compras!B:E,4,FALSE)</f>
        <v>5.7061999999999999</v>
      </c>
      <c r="D30" s="13">
        <f>VLOOKUP(B30,Compras!B:H,6,FALSE)</f>
        <v>6</v>
      </c>
      <c r="E30" s="18">
        <f t="shared" ref="E30" si="5">D30*C30</f>
        <v>34.237200000000001</v>
      </c>
      <c r="F30" s="17">
        <f>VLOOKUP(B30,Pricing!B:G,6,FALSE)</f>
        <v>11</v>
      </c>
      <c r="G30" s="18">
        <f t="shared" ref="G30" si="6">F30*D30</f>
        <v>66</v>
      </c>
      <c r="H30" s="20">
        <f t="shared" si="2"/>
        <v>1.9277277347446637</v>
      </c>
    </row>
  </sheetData>
  <autoFilter ref="A2:G25" xr:uid="{85837B5B-DABE-47E9-85E9-8616D8960ACE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08BD9-0F87-42C2-B2F7-F67B8377EB10}">
  <sheetPr>
    <tabColor rgb="FFFFC000"/>
  </sheetPr>
  <dimension ref="A1:E32"/>
  <sheetViews>
    <sheetView showGridLines="0" workbookViewId="0">
      <selection activeCell="A32" sqref="A32:B32"/>
    </sheetView>
  </sheetViews>
  <sheetFormatPr defaultRowHeight="15" x14ac:dyDescent="0.25"/>
  <cols>
    <col min="2" max="2" width="38.7109375" bestFit="1" customWidth="1"/>
    <col min="3" max="3" width="12.28515625" bestFit="1" customWidth="1"/>
    <col min="4" max="4" width="12.28515625" customWidth="1"/>
    <col min="5" max="5" width="14.42578125" bestFit="1" customWidth="1"/>
  </cols>
  <sheetData>
    <row r="1" spans="1:5" x14ac:dyDescent="0.25">
      <c r="A1" s="2" t="s">
        <v>63</v>
      </c>
      <c r="B1" s="2" t="s">
        <v>0</v>
      </c>
      <c r="C1" s="2" t="s">
        <v>112</v>
      </c>
      <c r="D1" s="2" t="s">
        <v>113</v>
      </c>
      <c r="E1" s="2" t="s">
        <v>116</v>
      </c>
    </row>
    <row r="2" spans="1:5" x14ac:dyDescent="0.25">
      <c r="A2" t="s">
        <v>64</v>
      </c>
      <c r="B2" s="13" t="s">
        <v>3</v>
      </c>
      <c r="C2" s="5">
        <f>VLOOKUP(B2,Compras!B:E,4,FALSE)</f>
        <v>2</v>
      </c>
      <c r="D2">
        <f>VLOOKUP(B2,Compras!B:H,6,FALSE)</f>
        <v>8</v>
      </c>
      <c r="E2" s="7">
        <f>D2*C2</f>
        <v>16</v>
      </c>
    </row>
    <row r="3" spans="1:5" x14ac:dyDescent="0.25">
      <c r="A3" t="s">
        <v>64</v>
      </c>
      <c r="B3" s="13" t="s">
        <v>2</v>
      </c>
      <c r="C3" s="5">
        <f>VLOOKUP(B3,Compras!B:E,4,FALSE)</f>
        <v>1.375</v>
      </c>
      <c r="D3">
        <f>VLOOKUP(B3,Compras!B:H,6,FALSE)</f>
        <v>20</v>
      </c>
      <c r="E3" s="7">
        <f t="shared" ref="E3:E31" si="0">D3*C3</f>
        <v>27.5</v>
      </c>
    </row>
    <row r="4" spans="1:5" x14ac:dyDescent="0.25">
      <c r="A4" t="s">
        <v>64</v>
      </c>
      <c r="B4" s="13" t="s">
        <v>38</v>
      </c>
      <c r="C4" s="5">
        <f>VLOOKUP(B4,Compras!B:E,4,FALSE)</f>
        <v>1.375</v>
      </c>
      <c r="D4">
        <f>VLOOKUP(B4,Compras!B:H,6,FALSE)</f>
        <v>20</v>
      </c>
      <c r="E4" s="7">
        <f t="shared" si="0"/>
        <v>27.5</v>
      </c>
    </row>
    <row r="5" spans="1:5" x14ac:dyDescent="0.25">
      <c r="A5" t="s">
        <v>64</v>
      </c>
      <c r="B5" s="13" t="s">
        <v>40</v>
      </c>
      <c r="C5" s="5">
        <f>VLOOKUP(B5,Compras!B:E,4,FALSE)</f>
        <v>1.375</v>
      </c>
      <c r="D5">
        <f>VLOOKUP(B5,Compras!B:H,6,FALSE)</f>
        <v>20</v>
      </c>
      <c r="E5" s="7">
        <f t="shared" si="0"/>
        <v>27.5</v>
      </c>
    </row>
    <row r="6" spans="1:5" x14ac:dyDescent="0.25">
      <c r="A6" t="s">
        <v>64</v>
      </c>
      <c r="B6" s="13" t="s">
        <v>87</v>
      </c>
      <c r="C6" s="5">
        <f>VLOOKUP(B6,Compras!B:E,4,FALSE)</f>
        <v>1.375</v>
      </c>
      <c r="D6">
        <f>VLOOKUP(B6,Compras!B:H,6,FALSE)</f>
        <v>20</v>
      </c>
      <c r="E6" s="7">
        <f t="shared" si="0"/>
        <v>27.5</v>
      </c>
    </row>
    <row r="7" spans="1:5" x14ac:dyDescent="0.25">
      <c r="A7" t="s">
        <v>65</v>
      </c>
      <c r="B7" s="13" t="s">
        <v>8</v>
      </c>
      <c r="C7" s="5">
        <f>VLOOKUP(B7,Compras!B:E,4,FALSE)</f>
        <v>3.4807133333333335</v>
      </c>
      <c r="D7">
        <f>VLOOKUP(B7,Compras!B:H,6,FALSE)</f>
        <v>30</v>
      </c>
      <c r="E7" s="7">
        <f t="shared" si="0"/>
        <v>104.42140000000001</v>
      </c>
    </row>
    <row r="8" spans="1:5" x14ac:dyDescent="0.25">
      <c r="A8" t="s">
        <v>65</v>
      </c>
      <c r="B8" s="13" t="s">
        <v>93</v>
      </c>
      <c r="C8" s="5">
        <f>VLOOKUP(B8,Compras!B:E,4,FALSE)</f>
        <v>2.8736999999999999</v>
      </c>
      <c r="D8">
        <f>VLOOKUP(B8,Compras!B:H,6,FALSE)</f>
        <v>25</v>
      </c>
      <c r="E8" s="7">
        <f t="shared" si="0"/>
        <v>71.842500000000001</v>
      </c>
    </row>
    <row r="9" spans="1:5" x14ac:dyDescent="0.25">
      <c r="A9" t="s">
        <v>65</v>
      </c>
      <c r="B9" s="13" t="s">
        <v>90</v>
      </c>
      <c r="C9" s="5">
        <f>VLOOKUP(B9,Compras!B:E,4,FALSE)</f>
        <v>2.4960333333333331</v>
      </c>
      <c r="D9">
        <f>VLOOKUP(B9,Compras!B:H,6,FALSE)</f>
        <v>30</v>
      </c>
      <c r="E9" s="7">
        <f t="shared" si="0"/>
        <v>74.881</v>
      </c>
    </row>
    <row r="10" spans="1:5" x14ac:dyDescent="0.25">
      <c r="A10" t="s">
        <v>65</v>
      </c>
      <c r="B10" s="13" t="s">
        <v>91</v>
      </c>
      <c r="C10" s="5">
        <f>VLOOKUP(B10,Compras!B:E,4,FALSE)</f>
        <v>3.0385000000000004</v>
      </c>
      <c r="D10">
        <f>VLOOKUP(B10,Compras!B:H,6,FALSE)</f>
        <v>20</v>
      </c>
      <c r="E10" s="7">
        <f t="shared" si="0"/>
        <v>60.77000000000001</v>
      </c>
    </row>
    <row r="11" spans="1:5" x14ac:dyDescent="0.25">
      <c r="A11" t="s">
        <v>65</v>
      </c>
      <c r="B11" s="13" t="s">
        <v>92</v>
      </c>
      <c r="C11" s="5">
        <f>VLOOKUP(B11,Compras!B:E,4,FALSE)</f>
        <v>2.6574</v>
      </c>
      <c r="D11">
        <f>VLOOKUP(B11,Compras!B:H,6,FALSE)</f>
        <v>36</v>
      </c>
      <c r="E11" s="7">
        <f t="shared" si="0"/>
        <v>95.666399999999996</v>
      </c>
    </row>
    <row r="12" spans="1:5" x14ac:dyDescent="0.25">
      <c r="A12" t="s">
        <v>64</v>
      </c>
      <c r="B12" s="13" t="s">
        <v>122</v>
      </c>
      <c r="C12" s="5">
        <f>VLOOKUP(B12,Compras!B:E,4,FALSE)</f>
        <v>9.606466666666666</v>
      </c>
      <c r="D12">
        <f>VLOOKUP(B12,Compras!B:H,6,FALSE)</f>
        <v>6</v>
      </c>
      <c r="E12" s="7">
        <f t="shared" si="0"/>
        <v>57.638799999999996</v>
      </c>
    </row>
    <row r="13" spans="1:5" x14ac:dyDescent="0.25">
      <c r="A13" t="s">
        <v>64</v>
      </c>
      <c r="B13" s="13" t="s">
        <v>121</v>
      </c>
      <c r="C13" s="5">
        <f>VLOOKUP(B13,Compras!B:E,4,FALSE)</f>
        <v>4.5358099999999997</v>
      </c>
      <c r="D13">
        <f>VLOOKUP(B13,Compras!B:H,6,FALSE)</f>
        <v>6</v>
      </c>
      <c r="E13" s="7">
        <f t="shared" si="0"/>
        <v>27.214859999999998</v>
      </c>
    </row>
    <row r="14" spans="1:5" x14ac:dyDescent="0.25">
      <c r="A14" t="s">
        <v>64</v>
      </c>
      <c r="B14" s="13" t="s">
        <v>33</v>
      </c>
      <c r="C14" s="5">
        <f>VLOOKUP(B14,Compras!B:E,4,FALSE)</f>
        <v>5.4497999966666661</v>
      </c>
      <c r="D14">
        <f>VLOOKUP(B14,Compras!B:H,6,FALSE)</f>
        <v>6</v>
      </c>
      <c r="E14" s="7">
        <f t="shared" si="0"/>
        <v>32.698799979999997</v>
      </c>
    </row>
    <row r="15" spans="1:5" x14ac:dyDescent="0.25">
      <c r="A15" t="s">
        <v>64</v>
      </c>
      <c r="B15" s="13" t="s">
        <v>34</v>
      </c>
      <c r="C15" s="5">
        <f>VLOOKUP(B15,Compras!B:E,4,FALSE)</f>
        <v>4.7997999999999994</v>
      </c>
      <c r="D15">
        <f>VLOOKUP(B15,Compras!B:H,6,FALSE)</f>
        <v>6</v>
      </c>
      <c r="E15" s="7">
        <f t="shared" si="0"/>
        <v>28.798799999999996</v>
      </c>
    </row>
    <row r="16" spans="1:5" x14ac:dyDescent="0.25">
      <c r="A16" t="s">
        <v>64</v>
      </c>
      <c r="B16" s="13" t="s">
        <v>35</v>
      </c>
      <c r="C16" s="5">
        <f>VLOOKUP(B16,Compras!B:E,4,FALSE)</f>
        <v>6.1731333333333325</v>
      </c>
      <c r="D16">
        <f>VLOOKUP(B16,Compras!B:H,6,FALSE)</f>
        <v>6</v>
      </c>
      <c r="E16" s="7">
        <f t="shared" si="0"/>
        <v>37.038799999999995</v>
      </c>
    </row>
    <row r="17" spans="1:5" x14ac:dyDescent="0.25">
      <c r="A17" t="s">
        <v>64</v>
      </c>
      <c r="B17" s="13" t="s">
        <v>37</v>
      </c>
      <c r="C17" s="5">
        <f>VLOOKUP(B17,Compras!B:E,4,FALSE)</f>
        <v>5.074466666666666</v>
      </c>
      <c r="D17">
        <f>VLOOKUP(B17,Compras!B:H,6,FALSE)</f>
        <v>6</v>
      </c>
      <c r="E17" s="7">
        <f t="shared" si="0"/>
        <v>30.446799999999996</v>
      </c>
    </row>
    <row r="18" spans="1:5" x14ac:dyDescent="0.25">
      <c r="A18" t="s">
        <v>64</v>
      </c>
      <c r="B18" s="13" t="s">
        <v>114</v>
      </c>
      <c r="C18" s="5">
        <f>VLOOKUP(B18,Compras!B:E,4,FALSE)</f>
        <v>5.074466666666666</v>
      </c>
      <c r="D18">
        <f>VLOOKUP(B18,Compras!B:H,6,FALSE)</f>
        <v>3</v>
      </c>
      <c r="E18" s="7">
        <f t="shared" si="0"/>
        <v>15.223399999999998</v>
      </c>
    </row>
    <row r="19" spans="1:5" x14ac:dyDescent="0.25">
      <c r="A19" t="s">
        <v>64</v>
      </c>
      <c r="B19" s="13" t="s">
        <v>100</v>
      </c>
      <c r="C19" s="5">
        <f>VLOOKUP(B19,Compras!B:E,4,FALSE)</f>
        <v>5.4864666666666659</v>
      </c>
      <c r="D19">
        <f>VLOOKUP(B19,Compras!B:H,6,FALSE)</f>
        <v>6</v>
      </c>
      <c r="E19" s="7">
        <f t="shared" si="0"/>
        <v>32.918799999999997</v>
      </c>
    </row>
    <row r="20" spans="1:5" x14ac:dyDescent="0.25">
      <c r="A20" t="s">
        <v>64</v>
      </c>
      <c r="B20" s="13" t="s">
        <v>101</v>
      </c>
      <c r="C20" s="5">
        <f>VLOOKUP(B20,Compras!B:E,4,FALSE)</f>
        <v>5.074466666666666</v>
      </c>
      <c r="D20">
        <f>VLOOKUP(B20,Compras!B:H,6,FALSE)</f>
        <v>6</v>
      </c>
      <c r="E20" s="7">
        <f t="shared" si="0"/>
        <v>30.446799999999996</v>
      </c>
    </row>
    <row r="21" spans="1:5" x14ac:dyDescent="0.25">
      <c r="A21" t="s">
        <v>64</v>
      </c>
      <c r="B21" s="13" t="s">
        <v>123</v>
      </c>
      <c r="C21" s="5">
        <f>VLOOKUP(B21,Compras!B:E,4,FALSE)</f>
        <v>1.3</v>
      </c>
      <c r="D21">
        <f>VLOOKUP(B21,Compras!B:H,6,FALSE)</f>
        <v>20</v>
      </c>
      <c r="E21" s="7">
        <f t="shared" si="0"/>
        <v>26</v>
      </c>
    </row>
    <row r="22" spans="1:5" x14ac:dyDescent="0.25">
      <c r="A22" t="s">
        <v>64</v>
      </c>
      <c r="B22" s="13" t="s">
        <v>103</v>
      </c>
      <c r="C22" s="5">
        <f>VLOOKUP(B22,Compras!B:E,4,FALSE)</f>
        <v>4.49</v>
      </c>
      <c r="D22">
        <f>VLOOKUP(B22,Compras!B:H,6,FALSE)</f>
        <v>11</v>
      </c>
      <c r="E22" s="7">
        <f t="shared" si="0"/>
        <v>49.39</v>
      </c>
    </row>
    <row r="23" spans="1:5" x14ac:dyDescent="0.25">
      <c r="A23" t="s">
        <v>64</v>
      </c>
      <c r="B23" s="13" t="s">
        <v>104</v>
      </c>
      <c r="C23" s="5">
        <f>VLOOKUP(B23,Compras!B:E,4,FALSE)</f>
        <v>1.99</v>
      </c>
      <c r="D23">
        <f>VLOOKUP(B23,Compras!B:H,6,FALSE)</f>
        <v>10</v>
      </c>
      <c r="E23" s="7">
        <f t="shared" si="0"/>
        <v>19.899999999999999</v>
      </c>
    </row>
    <row r="24" spans="1:5" x14ac:dyDescent="0.25">
      <c r="A24" t="s">
        <v>105</v>
      </c>
      <c r="B24" s="3" t="s">
        <v>27</v>
      </c>
      <c r="C24" s="5">
        <f>VLOOKUP(B24,Compras!B:E,4,FALSE)</f>
        <v>8.49</v>
      </c>
      <c r="D24">
        <f>VLOOKUP(B24,Compras!B:H,6,FALSE)</f>
        <v>2</v>
      </c>
      <c r="E24" s="7">
        <f t="shared" si="0"/>
        <v>16.98</v>
      </c>
    </row>
    <row r="25" spans="1:5" x14ac:dyDescent="0.25">
      <c r="A25" t="s">
        <v>106</v>
      </c>
      <c r="B25" s="3" t="s">
        <v>108</v>
      </c>
      <c r="C25" s="5">
        <f>VLOOKUP(B25,Compras!B:E,4,FALSE)</f>
        <v>0.41499999999999998</v>
      </c>
      <c r="D25">
        <f>VLOOKUP(B25,Compras!B:H,6,FALSE)</f>
        <v>60</v>
      </c>
      <c r="E25" s="7">
        <f t="shared" si="0"/>
        <v>24.9</v>
      </c>
    </row>
    <row r="26" spans="1:5" x14ac:dyDescent="0.25">
      <c r="A26" t="s">
        <v>107</v>
      </c>
      <c r="B26" s="3" t="s">
        <v>109</v>
      </c>
      <c r="C26" s="5">
        <f>VLOOKUP(B26,Compras!B:E,4,FALSE)</f>
        <v>8.99</v>
      </c>
      <c r="D26">
        <f>VLOOKUP(B26,Compras!B:H,6,FALSE)</f>
        <v>2</v>
      </c>
      <c r="E26" s="7">
        <f t="shared" si="0"/>
        <v>17.98</v>
      </c>
    </row>
    <row r="27" spans="1:5" x14ac:dyDescent="0.25">
      <c r="A27" t="s">
        <v>110</v>
      </c>
      <c r="B27" s="3" t="s">
        <v>111</v>
      </c>
      <c r="C27" s="5">
        <f>VLOOKUP(B27,Compras!B:E,4,FALSE)</f>
        <v>15.5</v>
      </c>
      <c r="D27">
        <f>VLOOKUP(B27,Compras!B:H,6,FALSE)</f>
        <v>2</v>
      </c>
      <c r="E27" s="7">
        <f t="shared" si="0"/>
        <v>31</v>
      </c>
    </row>
    <row r="28" spans="1:5" x14ac:dyDescent="0.25">
      <c r="A28" t="s">
        <v>66</v>
      </c>
      <c r="B28" s="3" t="s">
        <v>124</v>
      </c>
      <c r="C28" s="5">
        <f>VLOOKUP(B28,Compras!B:E,4,FALSE)</f>
        <v>4.6040999999999999</v>
      </c>
      <c r="D28">
        <v>6</v>
      </c>
      <c r="E28" s="7">
        <f t="shared" si="0"/>
        <v>27.624600000000001</v>
      </c>
    </row>
    <row r="29" spans="1:5" x14ac:dyDescent="0.25">
      <c r="A29" t="s">
        <v>66</v>
      </c>
      <c r="B29" s="3" t="s">
        <v>125</v>
      </c>
      <c r="C29" s="5">
        <f>VLOOKUP(B29,Compras!B:E,4,FALSE)</f>
        <v>3.3784000000000001</v>
      </c>
      <c r="D29">
        <v>6</v>
      </c>
      <c r="E29" s="7">
        <f t="shared" si="0"/>
        <v>20.270400000000002</v>
      </c>
    </row>
    <row r="30" spans="1:5" x14ac:dyDescent="0.25">
      <c r="A30" t="s">
        <v>66</v>
      </c>
      <c r="B30" s="3" t="s">
        <v>126</v>
      </c>
      <c r="C30" s="5">
        <f>VLOOKUP(B30,Compras!B:E,4,FALSE)</f>
        <v>4.3672000000000004</v>
      </c>
      <c r="D30">
        <v>6</v>
      </c>
      <c r="E30" s="7">
        <f t="shared" si="0"/>
        <v>26.203200000000002</v>
      </c>
    </row>
    <row r="31" spans="1:5" x14ac:dyDescent="0.25">
      <c r="A31" t="s">
        <v>66</v>
      </c>
      <c r="B31" s="3" t="s">
        <v>127</v>
      </c>
      <c r="C31" s="5">
        <f>VLOOKUP(B31,Compras!B:E,4,FALSE)</f>
        <v>4.3157000000000005</v>
      </c>
      <c r="D31">
        <v>6</v>
      </c>
      <c r="E31" s="7">
        <f t="shared" si="0"/>
        <v>25.894200000000005</v>
      </c>
    </row>
    <row r="32" spans="1:5" x14ac:dyDescent="0.25">
      <c r="A32" t="s">
        <v>68</v>
      </c>
      <c r="B32" s="3" t="s">
        <v>26</v>
      </c>
      <c r="C32" s="5">
        <f>VLOOKUP(B32,Compras!B:E,4,FALSE)</f>
        <v>5.7061999999999999</v>
      </c>
      <c r="D32">
        <v>6</v>
      </c>
      <c r="E32" s="7">
        <f t="shared" ref="E32" si="1">D32*C32</f>
        <v>34.237200000000001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83665-ABF9-40E5-8DF4-6E841D292597}">
  <sheetPr>
    <tabColor rgb="FF00B050"/>
  </sheetPr>
  <dimension ref="A1:S39"/>
  <sheetViews>
    <sheetView showGridLines="0" topLeftCell="A16" workbookViewId="0">
      <selection activeCell="H37" sqref="H37"/>
    </sheetView>
  </sheetViews>
  <sheetFormatPr defaultRowHeight="15" x14ac:dyDescent="0.25"/>
  <cols>
    <col min="1" max="1" width="13.140625" bestFit="1" customWidth="1"/>
    <col min="2" max="2" width="38.7109375" bestFit="1" customWidth="1"/>
    <col min="3" max="3" width="9.7109375" style="5" bestFit="1" customWidth="1"/>
    <col min="4" max="4" width="13.42578125" bestFit="1" customWidth="1"/>
    <col min="5" max="5" width="8.7109375" bestFit="1" customWidth="1"/>
    <col min="6" max="6" width="10.7109375" bestFit="1" customWidth="1"/>
    <col min="7" max="7" width="6.5703125" bestFit="1" customWidth="1"/>
    <col min="8" max="8" width="17.140625" bestFit="1" customWidth="1"/>
    <col min="9" max="9" width="11.28515625" bestFit="1" customWidth="1"/>
    <col min="12" max="12" width="7" style="5" bestFit="1" customWidth="1"/>
  </cols>
  <sheetData>
    <row r="1" spans="1:12" x14ac:dyDescent="0.25">
      <c r="G1" s="19">
        <f>SUM(G3:G32)</f>
        <v>411</v>
      </c>
      <c r="H1" s="7">
        <f>SUM(H3:H32)</f>
        <v>1112.1495599799998</v>
      </c>
    </row>
    <row r="2" spans="1:12" x14ac:dyDescent="0.25">
      <c r="A2" s="2" t="s">
        <v>63</v>
      </c>
      <c r="B2" s="2" t="s">
        <v>0</v>
      </c>
      <c r="C2" s="4" t="s">
        <v>6</v>
      </c>
      <c r="D2" s="2" t="s">
        <v>30</v>
      </c>
      <c r="E2" s="4" t="s">
        <v>44</v>
      </c>
      <c r="F2" s="2" t="s">
        <v>115</v>
      </c>
      <c r="G2" s="2" t="s">
        <v>98</v>
      </c>
      <c r="H2" s="4" t="s">
        <v>94</v>
      </c>
    </row>
    <row r="3" spans="1:12" x14ac:dyDescent="0.25">
      <c r="A3" t="s">
        <v>64</v>
      </c>
      <c r="B3" s="13" t="s">
        <v>3</v>
      </c>
      <c r="C3" s="5">
        <v>2</v>
      </c>
      <c r="D3" t="s">
        <v>88</v>
      </c>
      <c r="E3" s="7">
        <f>C3*(1+VLOOKUP(D3,'Taxas Serviços'!A:B,2,FALSE))</f>
        <v>2</v>
      </c>
      <c r="F3" s="15">
        <v>44550</v>
      </c>
      <c r="G3">
        <v>8</v>
      </c>
      <c r="H3" s="7">
        <f t="shared" ref="H3:H29" si="0">G3*E3</f>
        <v>16</v>
      </c>
    </row>
    <row r="4" spans="1:12" x14ac:dyDescent="0.25">
      <c r="A4" t="s">
        <v>64</v>
      </c>
      <c r="B4" s="13" t="s">
        <v>2</v>
      </c>
      <c r="C4" s="5">
        <v>1.375</v>
      </c>
      <c r="D4" t="s">
        <v>88</v>
      </c>
      <c r="E4" s="7">
        <f>C4*(1+VLOOKUP(D4,'Taxas Serviços'!A:B,2,FALSE))</f>
        <v>1.375</v>
      </c>
      <c r="F4" s="15">
        <v>44550</v>
      </c>
      <c r="G4">
        <v>20</v>
      </c>
      <c r="H4" s="7">
        <f t="shared" si="0"/>
        <v>27.5</v>
      </c>
    </row>
    <row r="5" spans="1:12" x14ac:dyDescent="0.25">
      <c r="A5" t="s">
        <v>64</v>
      </c>
      <c r="B5" s="13" t="s">
        <v>38</v>
      </c>
      <c r="C5" s="5">
        <v>1.375</v>
      </c>
      <c r="D5" t="s">
        <v>88</v>
      </c>
      <c r="E5" s="7">
        <f>C5*(1+VLOOKUP(D5,'Taxas Serviços'!A:B,2,FALSE))</f>
        <v>1.375</v>
      </c>
      <c r="F5" s="15">
        <v>44550</v>
      </c>
      <c r="G5">
        <v>20</v>
      </c>
      <c r="H5" s="7">
        <f t="shared" si="0"/>
        <v>27.5</v>
      </c>
    </row>
    <row r="6" spans="1:12" x14ac:dyDescent="0.25">
      <c r="A6" t="s">
        <v>64</v>
      </c>
      <c r="B6" s="13" t="s">
        <v>40</v>
      </c>
      <c r="C6" s="5">
        <v>1.375</v>
      </c>
      <c r="D6" t="s">
        <v>88</v>
      </c>
      <c r="E6" s="7">
        <f>C6*(1+VLOOKUP(D6,'Taxas Serviços'!A:B,2,FALSE))</f>
        <v>1.375</v>
      </c>
      <c r="F6" s="15">
        <v>44550</v>
      </c>
      <c r="G6">
        <v>20</v>
      </c>
      <c r="H6" s="7">
        <f t="shared" si="0"/>
        <v>27.5</v>
      </c>
    </row>
    <row r="7" spans="1:12" x14ac:dyDescent="0.25">
      <c r="A7" t="s">
        <v>64</v>
      </c>
      <c r="B7" s="13" t="s">
        <v>87</v>
      </c>
      <c r="C7" s="5">
        <v>1.375</v>
      </c>
      <c r="D7" t="s">
        <v>88</v>
      </c>
      <c r="E7" s="7">
        <f>C7*(1+VLOOKUP(D7,'Taxas Serviços'!A:B,2,FALSE))</f>
        <v>1.375</v>
      </c>
      <c r="F7" s="15">
        <v>44550</v>
      </c>
      <c r="G7">
        <v>20</v>
      </c>
      <c r="H7" s="7">
        <f t="shared" si="0"/>
        <v>27.5</v>
      </c>
    </row>
    <row r="8" spans="1:12" x14ac:dyDescent="0.25">
      <c r="A8" t="s">
        <v>65</v>
      </c>
      <c r="B8" s="13" t="s">
        <v>8</v>
      </c>
      <c r="C8" s="5">
        <v>3.3793333333333333</v>
      </c>
      <c r="D8" t="s">
        <v>52</v>
      </c>
      <c r="E8" s="7">
        <f>C8*(1+VLOOKUP(D8,'Taxas Serviços'!A:B,2,FALSE))</f>
        <v>3.4807133333333335</v>
      </c>
      <c r="F8" s="15">
        <v>44551</v>
      </c>
      <c r="G8">
        <v>30</v>
      </c>
      <c r="H8" s="7">
        <f t="shared" si="0"/>
        <v>104.42140000000001</v>
      </c>
    </row>
    <row r="9" spans="1:12" x14ac:dyDescent="0.25">
      <c r="A9" t="s">
        <v>65</v>
      </c>
      <c r="B9" s="13" t="s">
        <v>93</v>
      </c>
      <c r="C9" s="5">
        <v>2.79</v>
      </c>
      <c r="D9" t="s">
        <v>43</v>
      </c>
      <c r="E9" s="7">
        <f>C9*(1+VLOOKUP(D9,'Taxas Serviços'!A:B,2,FALSE))</f>
        <v>2.8736999999999999</v>
      </c>
      <c r="F9" s="15">
        <v>44551</v>
      </c>
      <c r="G9">
        <v>25</v>
      </c>
      <c r="H9" s="7">
        <f t="shared" si="0"/>
        <v>71.842500000000001</v>
      </c>
    </row>
    <row r="10" spans="1:12" x14ac:dyDescent="0.25">
      <c r="A10" t="s">
        <v>65</v>
      </c>
      <c r="B10" s="13" t="s">
        <v>90</v>
      </c>
      <c r="C10" s="5">
        <v>2.4233333333333329</v>
      </c>
      <c r="D10" t="s">
        <v>52</v>
      </c>
      <c r="E10" s="7">
        <f>C10*(1+VLOOKUP(D10,'Taxas Serviços'!A:B,2,FALSE))</f>
        <v>2.4960333333333331</v>
      </c>
      <c r="F10" s="15">
        <v>44551</v>
      </c>
      <c r="G10">
        <v>30</v>
      </c>
      <c r="H10" s="7">
        <f t="shared" si="0"/>
        <v>74.881</v>
      </c>
    </row>
    <row r="11" spans="1:12" x14ac:dyDescent="0.25">
      <c r="A11" t="s">
        <v>65</v>
      </c>
      <c r="B11" s="13" t="s">
        <v>91</v>
      </c>
      <c r="C11" s="5">
        <v>2.95</v>
      </c>
      <c r="D11" t="s">
        <v>52</v>
      </c>
      <c r="E11" s="7">
        <f>C11*(1+VLOOKUP(D11,'Taxas Serviços'!A:B,2,FALSE))</f>
        <v>3.0385000000000004</v>
      </c>
      <c r="F11" s="15">
        <v>44551</v>
      </c>
      <c r="G11">
        <v>20</v>
      </c>
      <c r="H11" s="7">
        <f t="shared" si="0"/>
        <v>60.77000000000001</v>
      </c>
    </row>
    <row r="12" spans="1:12" x14ac:dyDescent="0.25">
      <c r="A12" t="s">
        <v>65</v>
      </c>
      <c r="B12" s="13" t="s">
        <v>92</v>
      </c>
      <c r="C12" s="5">
        <v>2.58</v>
      </c>
      <c r="D12" t="s">
        <v>52</v>
      </c>
      <c r="E12" s="7">
        <f>C12*(1+VLOOKUP(D12,'Taxas Serviços'!A:B,2,FALSE))</f>
        <v>2.6574</v>
      </c>
      <c r="F12" s="15">
        <v>44551</v>
      </c>
      <c r="G12">
        <v>36</v>
      </c>
      <c r="H12" s="7">
        <f t="shared" si="0"/>
        <v>95.666399999999996</v>
      </c>
    </row>
    <row r="13" spans="1:12" x14ac:dyDescent="0.25">
      <c r="A13" t="s">
        <v>64</v>
      </c>
      <c r="B13" s="13" t="s">
        <v>122</v>
      </c>
      <c r="C13" s="5">
        <v>9.3266666666666662</v>
      </c>
      <c r="D13" t="s">
        <v>50</v>
      </c>
      <c r="E13" s="7">
        <f>C13*(1+VLOOKUP(D13,'Taxas Serviços'!A:B,2,FALSE))</f>
        <v>9.606466666666666</v>
      </c>
      <c r="F13" s="15">
        <v>44551</v>
      </c>
      <c r="G13">
        <v>6</v>
      </c>
      <c r="H13" s="7">
        <f t="shared" si="0"/>
        <v>57.638799999999996</v>
      </c>
    </row>
    <row r="14" spans="1:12" x14ac:dyDescent="0.25">
      <c r="A14" t="s">
        <v>64</v>
      </c>
      <c r="B14" s="13" t="s">
        <v>121</v>
      </c>
      <c r="C14" s="5">
        <v>4.09</v>
      </c>
      <c r="D14" t="s">
        <v>31</v>
      </c>
      <c r="E14" s="7">
        <f>C14*1.109</f>
        <v>4.5358099999999997</v>
      </c>
      <c r="F14" s="15">
        <v>44551</v>
      </c>
      <c r="G14">
        <v>6</v>
      </c>
      <c r="H14" s="7">
        <f t="shared" si="0"/>
        <v>27.214859999999998</v>
      </c>
      <c r="J14" s="7"/>
    </row>
    <row r="15" spans="1:12" x14ac:dyDescent="0.25">
      <c r="A15" t="s">
        <v>64</v>
      </c>
      <c r="B15" s="13" t="s">
        <v>33</v>
      </c>
      <c r="C15" s="5">
        <v>5.3266666666666662</v>
      </c>
      <c r="D15" t="s">
        <v>57</v>
      </c>
      <c r="E15" s="7">
        <f>C15*(1+VLOOKUP(D15,'Taxas Serviços'!A:B,2,FALSE))-0.03666667</f>
        <v>5.4497999966666661</v>
      </c>
      <c r="F15" s="15">
        <v>44551</v>
      </c>
      <c r="G15">
        <v>6</v>
      </c>
      <c r="H15" s="7">
        <f t="shared" si="0"/>
        <v>32.698799979999997</v>
      </c>
      <c r="I15" s="7"/>
      <c r="K15" s="7"/>
      <c r="L15"/>
    </row>
    <row r="16" spans="1:12" x14ac:dyDescent="0.25">
      <c r="A16" t="s">
        <v>64</v>
      </c>
      <c r="B16" s="13" t="s">
        <v>34</v>
      </c>
      <c r="C16" s="5">
        <v>4.6599999999999993</v>
      </c>
      <c r="D16" t="s">
        <v>57</v>
      </c>
      <c r="E16" s="7">
        <f>C16*(1+VLOOKUP(D16,'Taxas Serviços'!A:B,2,FALSE))</f>
        <v>4.7997999999999994</v>
      </c>
      <c r="F16" s="15">
        <v>44551</v>
      </c>
      <c r="G16">
        <v>6</v>
      </c>
      <c r="H16" s="7">
        <f t="shared" si="0"/>
        <v>28.798799999999996</v>
      </c>
      <c r="K16" s="7"/>
      <c r="L16"/>
    </row>
    <row r="17" spans="1:19" x14ac:dyDescent="0.25">
      <c r="A17" t="s">
        <v>64</v>
      </c>
      <c r="B17" s="13" t="s">
        <v>35</v>
      </c>
      <c r="C17" s="5">
        <v>5.9933333333333323</v>
      </c>
      <c r="D17" t="s">
        <v>57</v>
      </c>
      <c r="E17" s="7">
        <f>C17*(1+VLOOKUP(D17,'Taxas Serviços'!A:B,2,FALSE))</f>
        <v>6.1731333333333325</v>
      </c>
      <c r="F17" s="15">
        <v>44551</v>
      </c>
      <c r="G17">
        <v>6</v>
      </c>
      <c r="H17" s="7">
        <f t="shared" si="0"/>
        <v>37.038799999999995</v>
      </c>
      <c r="K17" s="7"/>
      <c r="L17"/>
      <c r="M17" s="18"/>
      <c r="N17" s="17"/>
      <c r="O17" s="18"/>
      <c r="P17" s="18"/>
      <c r="Q17" s="18"/>
      <c r="R17" s="7"/>
      <c r="S17" s="7"/>
    </row>
    <row r="18" spans="1:19" x14ac:dyDescent="0.25">
      <c r="A18" t="s">
        <v>64</v>
      </c>
      <c r="B18" s="13" t="s">
        <v>37</v>
      </c>
      <c r="C18" s="5">
        <v>4.9266666666666659</v>
      </c>
      <c r="D18" t="s">
        <v>57</v>
      </c>
      <c r="E18" s="7">
        <f>C18*(1+VLOOKUP(D18,'Taxas Serviços'!A:B,2,FALSE))</f>
        <v>5.074466666666666</v>
      </c>
      <c r="F18" s="15">
        <v>44551</v>
      </c>
      <c r="G18">
        <v>6</v>
      </c>
      <c r="H18" s="7">
        <f t="shared" si="0"/>
        <v>30.446799999999996</v>
      </c>
      <c r="K18" s="7"/>
      <c r="L18" s="17"/>
      <c r="M18" s="18"/>
      <c r="N18" s="17"/>
      <c r="O18" s="18"/>
      <c r="P18" s="18"/>
      <c r="Q18" s="18"/>
      <c r="R18" s="7"/>
      <c r="S18" s="7"/>
    </row>
    <row r="19" spans="1:19" x14ac:dyDescent="0.25">
      <c r="A19" t="s">
        <v>64</v>
      </c>
      <c r="B19" s="13" t="s">
        <v>114</v>
      </c>
      <c r="C19" s="5">
        <v>4.9266666666666659</v>
      </c>
      <c r="D19" t="s">
        <v>57</v>
      </c>
      <c r="E19" s="7">
        <f>C19*(1+VLOOKUP(D19,'Taxas Serviços'!A:B,2,FALSE))</f>
        <v>5.074466666666666</v>
      </c>
      <c r="F19" s="15">
        <v>44551</v>
      </c>
      <c r="G19">
        <v>3</v>
      </c>
      <c r="H19" s="7">
        <f t="shared" si="0"/>
        <v>15.223399999999998</v>
      </c>
      <c r="K19" s="7"/>
      <c r="L19" s="17"/>
      <c r="M19" s="17"/>
      <c r="N19" s="17"/>
      <c r="O19" s="18"/>
      <c r="P19" s="18"/>
      <c r="Q19" s="18"/>
      <c r="R19" s="7"/>
      <c r="S19" s="7"/>
    </row>
    <row r="20" spans="1:19" x14ac:dyDescent="0.25">
      <c r="A20" t="s">
        <v>64</v>
      </c>
      <c r="B20" s="13" t="s">
        <v>100</v>
      </c>
      <c r="C20" s="5">
        <v>5.3266666666666662</v>
      </c>
      <c r="D20" t="s">
        <v>57</v>
      </c>
      <c r="E20" s="7">
        <f>C20*(1+VLOOKUP(D20,'Taxas Serviços'!A:B,2,FALSE))</f>
        <v>5.4864666666666659</v>
      </c>
      <c r="F20" s="15">
        <v>44551</v>
      </c>
      <c r="G20">
        <v>6</v>
      </c>
      <c r="H20" s="7">
        <f t="shared" si="0"/>
        <v>32.918799999999997</v>
      </c>
      <c r="K20" s="7"/>
      <c r="L20" s="17"/>
      <c r="M20" s="17"/>
      <c r="N20" s="17"/>
      <c r="O20" s="18"/>
      <c r="P20" s="18"/>
      <c r="Q20" s="18"/>
      <c r="R20" s="7"/>
      <c r="S20" s="7"/>
    </row>
    <row r="21" spans="1:19" x14ac:dyDescent="0.25">
      <c r="A21" t="s">
        <v>64</v>
      </c>
      <c r="B21" s="13" t="s">
        <v>101</v>
      </c>
      <c r="C21" s="5">
        <v>4.9266666666666659</v>
      </c>
      <c r="D21" t="s">
        <v>57</v>
      </c>
      <c r="E21" s="7">
        <f>C21*(1+VLOOKUP(D21,'Taxas Serviços'!A:B,2,FALSE))</f>
        <v>5.074466666666666</v>
      </c>
      <c r="F21" s="15">
        <v>44551</v>
      </c>
      <c r="G21">
        <v>6</v>
      </c>
      <c r="H21" s="7">
        <f t="shared" si="0"/>
        <v>30.446799999999996</v>
      </c>
      <c r="K21" s="7"/>
      <c r="L21" s="17"/>
      <c r="M21" s="17"/>
      <c r="N21" s="17"/>
      <c r="O21" s="18"/>
      <c r="P21" s="18"/>
      <c r="Q21" s="18"/>
    </row>
    <row r="22" spans="1:19" x14ac:dyDescent="0.25">
      <c r="A22" t="s">
        <v>64</v>
      </c>
      <c r="B22" s="13" t="s">
        <v>123</v>
      </c>
      <c r="C22" s="5">
        <v>1.3</v>
      </c>
      <c r="D22" t="s">
        <v>102</v>
      </c>
      <c r="E22" s="7">
        <f>C22*(1+VLOOKUP(D22,'Taxas Serviços'!A:B,2,FALSE))</f>
        <v>1.3</v>
      </c>
      <c r="F22" s="15">
        <v>44551</v>
      </c>
      <c r="G22">
        <v>20</v>
      </c>
      <c r="H22" s="7">
        <f t="shared" si="0"/>
        <v>26</v>
      </c>
      <c r="L22" s="17"/>
      <c r="M22" s="17"/>
      <c r="N22" s="17"/>
      <c r="O22" s="18"/>
      <c r="P22" s="18"/>
      <c r="Q22" s="18"/>
    </row>
    <row r="23" spans="1:19" x14ac:dyDescent="0.25">
      <c r="A23" t="s">
        <v>64</v>
      </c>
      <c r="B23" s="13" t="s">
        <v>103</v>
      </c>
      <c r="C23" s="5">
        <v>4.49</v>
      </c>
      <c r="D23" t="s">
        <v>102</v>
      </c>
      <c r="E23" s="7">
        <f>C23*(1+VLOOKUP(D23,'Taxas Serviços'!A:B,2,FALSE))</f>
        <v>4.49</v>
      </c>
      <c r="F23" s="15">
        <v>44551</v>
      </c>
      <c r="G23">
        <v>11</v>
      </c>
      <c r="H23" s="7">
        <f t="shared" si="0"/>
        <v>49.39</v>
      </c>
      <c r="L23" s="17"/>
      <c r="M23" s="17"/>
      <c r="N23" s="17"/>
      <c r="O23" s="18"/>
      <c r="P23" s="18"/>
      <c r="Q23" s="18"/>
    </row>
    <row r="24" spans="1:19" x14ac:dyDescent="0.25">
      <c r="A24" t="s">
        <v>64</v>
      </c>
      <c r="B24" s="13" t="s">
        <v>104</v>
      </c>
      <c r="C24" s="5">
        <v>1.99</v>
      </c>
      <c r="D24" t="s">
        <v>102</v>
      </c>
      <c r="E24" s="7">
        <f>C24*(1+VLOOKUP(D24,'Taxas Serviços'!A:B,2,FALSE))</f>
        <v>1.99</v>
      </c>
      <c r="F24" s="15">
        <v>44551</v>
      </c>
      <c r="G24">
        <v>10</v>
      </c>
      <c r="H24" s="7">
        <f t="shared" si="0"/>
        <v>19.899999999999999</v>
      </c>
      <c r="K24" s="5"/>
      <c r="L24" s="17"/>
      <c r="M24" s="17"/>
      <c r="N24" s="17"/>
      <c r="O24" s="18"/>
      <c r="P24" s="18"/>
      <c r="Q24" s="18"/>
    </row>
    <row r="25" spans="1:19" x14ac:dyDescent="0.25">
      <c r="A25" t="s">
        <v>105</v>
      </c>
      <c r="B25" s="3" t="s">
        <v>27</v>
      </c>
      <c r="C25" s="5">
        <v>8.49</v>
      </c>
      <c r="D25" t="s">
        <v>102</v>
      </c>
      <c r="E25" s="7">
        <f>C25*(1+VLOOKUP(D25,'Taxas Serviços'!A:B,2,FALSE))</f>
        <v>8.49</v>
      </c>
      <c r="F25" s="15">
        <v>44551</v>
      </c>
      <c r="G25">
        <v>2</v>
      </c>
      <c r="H25" s="7">
        <f t="shared" si="0"/>
        <v>16.98</v>
      </c>
      <c r="K25" s="7"/>
      <c r="L25" s="17"/>
      <c r="M25" s="17"/>
      <c r="N25" s="17"/>
      <c r="O25" s="18"/>
      <c r="P25" s="18"/>
      <c r="Q25" s="18"/>
    </row>
    <row r="26" spans="1:19" x14ac:dyDescent="0.25">
      <c r="A26" t="s">
        <v>106</v>
      </c>
      <c r="B26" s="3" t="s">
        <v>108</v>
      </c>
      <c r="C26" s="5">
        <v>0.41499999999999998</v>
      </c>
      <c r="D26" t="s">
        <v>102</v>
      </c>
      <c r="E26" s="7">
        <f>C26*(1+VLOOKUP(D26,'Taxas Serviços'!A:B,2,FALSE))</f>
        <v>0.41499999999999998</v>
      </c>
      <c r="F26" s="15">
        <v>44551</v>
      </c>
      <c r="G26">
        <v>60</v>
      </c>
      <c r="H26" s="7">
        <f t="shared" si="0"/>
        <v>24.9</v>
      </c>
      <c r="I26" s="7"/>
      <c r="M26" s="7"/>
    </row>
    <row r="27" spans="1:19" x14ac:dyDescent="0.25">
      <c r="A27" t="s">
        <v>107</v>
      </c>
      <c r="B27" s="3" t="s">
        <v>109</v>
      </c>
      <c r="C27" s="5">
        <v>8.99</v>
      </c>
      <c r="D27" t="s">
        <v>102</v>
      </c>
      <c r="E27" s="7">
        <f>C27*(1+VLOOKUP(D27,'Taxas Serviços'!A:B,2,FALSE))</f>
        <v>8.99</v>
      </c>
      <c r="F27" s="15">
        <v>44551</v>
      </c>
      <c r="G27">
        <v>2</v>
      </c>
      <c r="H27" s="7">
        <f t="shared" si="0"/>
        <v>17.98</v>
      </c>
    </row>
    <row r="28" spans="1:19" x14ac:dyDescent="0.25">
      <c r="A28" t="s">
        <v>110</v>
      </c>
      <c r="B28" s="3" t="s">
        <v>111</v>
      </c>
      <c r="C28" s="5">
        <v>15.5</v>
      </c>
      <c r="D28" t="s">
        <v>88</v>
      </c>
      <c r="E28" s="7">
        <f>C28*(1+VLOOKUP(D28,'Taxas Serviços'!A:B,2,FALSE))</f>
        <v>15.5</v>
      </c>
      <c r="F28" s="15">
        <v>44550</v>
      </c>
      <c r="G28">
        <v>2</v>
      </c>
      <c r="H28" s="7">
        <f t="shared" si="0"/>
        <v>31</v>
      </c>
    </row>
    <row r="29" spans="1:19" x14ac:dyDescent="0.25">
      <c r="A29" t="s">
        <v>66</v>
      </c>
      <c r="B29" s="3" t="s">
        <v>124</v>
      </c>
      <c r="C29" s="5">
        <v>4.47</v>
      </c>
      <c r="D29" t="s">
        <v>50</v>
      </c>
      <c r="E29" s="7">
        <f>C29*(1+VLOOKUP(D29,'Taxas Serviços'!A:B,2,FALSE))</f>
        <v>4.6040999999999999</v>
      </c>
      <c r="F29" s="15">
        <v>44551</v>
      </c>
      <c r="G29">
        <v>6</v>
      </c>
      <c r="H29" s="7">
        <f t="shared" si="0"/>
        <v>27.624600000000001</v>
      </c>
    </row>
    <row r="30" spans="1:19" x14ac:dyDescent="0.25">
      <c r="A30" t="s">
        <v>66</v>
      </c>
      <c r="B30" s="3" t="s">
        <v>125</v>
      </c>
      <c r="C30" s="5">
        <v>3.28</v>
      </c>
      <c r="D30" t="s">
        <v>50</v>
      </c>
      <c r="E30" s="7">
        <f>C30*(1+VLOOKUP(D30,'Taxas Serviços'!A:B,2,FALSE))</f>
        <v>3.3784000000000001</v>
      </c>
      <c r="F30" s="15">
        <v>44551</v>
      </c>
      <c r="G30">
        <v>6</v>
      </c>
      <c r="H30" s="7">
        <f t="shared" ref="H30:H39" si="1">G30*E30</f>
        <v>20.270400000000002</v>
      </c>
    </row>
    <row r="31" spans="1:19" x14ac:dyDescent="0.25">
      <c r="A31" t="s">
        <v>66</v>
      </c>
      <c r="B31" s="3" t="s">
        <v>126</v>
      </c>
      <c r="C31" s="5">
        <v>4.24</v>
      </c>
      <c r="D31" t="s">
        <v>50</v>
      </c>
      <c r="E31" s="7">
        <f>C31*(1+VLOOKUP(D31,'Taxas Serviços'!A:B,2,FALSE))</f>
        <v>4.3672000000000004</v>
      </c>
      <c r="F31" s="15">
        <v>44551</v>
      </c>
      <c r="G31">
        <v>6</v>
      </c>
      <c r="H31" s="7">
        <f t="shared" si="1"/>
        <v>26.203200000000002</v>
      </c>
    </row>
    <row r="32" spans="1:19" x14ac:dyDescent="0.25">
      <c r="A32" t="s">
        <v>66</v>
      </c>
      <c r="B32" s="3" t="s">
        <v>127</v>
      </c>
      <c r="C32" s="5">
        <v>4.1900000000000004</v>
      </c>
      <c r="D32" t="s">
        <v>50</v>
      </c>
      <c r="E32" s="7">
        <f>C32*(1+VLOOKUP(D32,'Taxas Serviços'!A:B,2,FALSE))</f>
        <v>4.3157000000000005</v>
      </c>
      <c r="F32" s="15">
        <v>44551</v>
      </c>
      <c r="G32">
        <v>6</v>
      </c>
      <c r="H32" s="7">
        <f t="shared" si="1"/>
        <v>25.894200000000005</v>
      </c>
    </row>
    <row r="33" spans="1:8" x14ac:dyDescent="0.25">
      <c r="A33" t="s">
        <v>68</v>
      </c>
      <c r="B33" s="3" t="s">
        <v>26</v>
      </c>
      <c r="C33" s="5">
        <v>5.54</v>
      </c>
      <c r="D33" t="s">
        <v>50</v>
      </c>
      <c r="E33" s="7">
        <f>C33*(1+VLOOKUP(D33,'Taxas Serviços'!A:B,2,FALSE))</f>
        <v>5.7061999999999999</v>
      </c>
      <c r="F33" s="15">
        <v>44551</v>
      </c>
      <c r="G33">
        <v>6</v>
      </c>
      <c r="H33" s="7">
        <f t="shared" si="1"/>
        <v>34.237200000000001</v>
      </c>
    </row>
    <row r="34" spans="1:8" x14ac:dyDescent="0.25">
      <c r="A34" t="s">
        <v>105</v>
      </c>
      <c r="B34" s="3" t="s">
        <v>129</v>
      </c>
      <c r="C34" s="5">
        <v>79.92</v>
      </c>
      <c r="D34" t="s">
        <v>43</v>
      </c>
      <c r="E34" s="7">
        <f>C34*(1+VLOOKUP(D34,'Taxas Serviços'!A:B,2,FALSE))</f>
        <v>82.317599999999999</v>
      </c>
      <c r="F34" s="15">
        <v>44552</v>
      </c>
      <c r="G34">
        <v>1</v>
      </c>
      <c r="H34" s="7">
        <f t="shared" si="1"/>
        <v>82.317599999999999</v>
      </c>
    </row>
    <row r="35" spans="1:8" x14ac:dyDescent="0.25">
      <c r="A35" t="s">
        <v>105</v>
      </c>
      <c r="B35" s="3" t="s">
        <v>130</v>
      </c>
      <c r="C35" s="5">
        <v>79.92</v>
      </c>
      <c r="D35" t="s">
        <v>43</v>
      </c>
      <c r="E35" s="7">
        <f>C35*(1+VLOOKUP(D35,'Taxas Serviços'!A:B,2,FALSE))</f>
        <v>82.317599999999999</v>
      </c>
      <c r="F35" s="15">
        <v>44552</v>
      </c>
      <c r="G35">
        <v>1</v>
      </c>
      <c r="H35" s="7">
        <f t="shared" si="1"/>
        <v>82.317599999999999</v>
      </c>
    </row>
    <row r="36" spans="1:8" x14ac:dyDescent="0.25">
      <c r="A36" t="s">
        <v>67</v>
      </c>
      <c r="B36" s="3" t="s">
        <v>131</v>
      </c>
      <c r="C36" s="5">
        <v>1.83</v>
      </c>
      <c r="D36" t="s">
        <v>50</v>
      </c>
      <c r="E36" s="7">
        <f>C36*(1+VLOOKUP(D36,'Taxas Serviços'!A:B,2,FALSE))</f>
        <v>1.8849</v>
      </c>
      <c r="F36" s="15">
        <v>44552</v>
      </c>
      <c r="G36">
        <v>6</v>
      </c>
      <c r="H36" s="7">
        <f t="shared" si="1"/>
        <v>11.3094</v>
      </c>
    </row>
    <row r="37" spans="1:8" x14ac:dyDescent="0.25">
      <c r="A37" t="s">
        <v>67</v>
      </c>
      <c r="B37" s="3" t="s">
        <v>132</v>
      </c>
      <c r="C37" s="5">
        <v>2.37</v>
      </c>
      <c r="D37" t="s">
        <v>50</v>
      </c>
      <c r="E37" s="7">
        <f>C37*(1+VLOOKUP(D37,'Taxas Serviços'!A:B,2,FALSE))</f>
        <v>2.4411</v>
      </c>
      <c r="F37" s="15">
        <v>44552</v>
      </c>
      <c r="G37">
        <v>6</v>
      </c>
      <c r="H37" s="7">
        <f t="shared" si="1"/>
        <v>14.646599999999999</v>
      </c>
    </row>
    <row r="38" spans="1:8" x14ac:dyDescent="0.25">
      <c r="A38" t="s">
        <v>133</v>
      </c>
      <c r="B38" s="3" t="s">
        <v>135</v>
      </c>
      <c r="C38" s="5">
        <v>59.99</v>
      </c>
      <c r="D38" t="s">
        <v>50</v>
      </c>
      <c r="E38" s="7">
        <f>C38*(1+VLOOKUP(D38,'Taxas Serviços'!A:B,2,FALSE))</f>
        <v>61.789700000000003</v>
      </c>
      <c r="F38" s="15">
        <v>44552</v>
      </c>
      <c r="G38">
        <v>2</v>
      </c>
      <c r="H38" s="7">
        <f t="shared" si="1"/>
        <v>123.57940000000001</v>
      </c>
    </row>
    <row r="39" spans="1:8" x14ac:dyDescent="0.25">
      <c r="A39" t="s">
        <v>133</v>
      </c>
      <c r="B39" s="3" t="s">
        <v>134</v>
      </c>
      <c r="C39" s="5">
        <v>56.99</v>
      </c>
      <c r="D39" t="s">
        <v>50</v>
      </c>
      <c r="E39" s="7">
        <f>C39*(1+VLOOKUP(D39,'Taxas Serviços'!A:B,2,FALSE))</f>
        <v>58.699700000000007</v>
      </c>
      <c r="F39" s="15">
        <v>44552</v>
      </c>
      <c r="G39">
        <v>2</v>
      </c>
      <c r="H39" s="7">
        <f t="shared" si="1"/>
        <v>117.39940000000001</v>
      </c>
    </row>
  </sheetData>
  <autoFilter ref="A2:H33" xr:uid="{BD183665-ABF9-40E5-8DF4-6E841D292597}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E14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E4C29-B347-4D7F-86EB-6769874956B4}">
  <sheetPr>
    <tabColor theme="4"/>
  </sheetPr>
  <dimension ref="A1:O62"/>
  <sheetViews>
    <sheetView showGridLines="0" workbookViewId="0">
      <selection activeCell="M67" sqref="M67"/>
    </sheetView>
  </sheetViews>
  <sheetFormatPr defaultRowHeight="15" x14ac:dyDescent="0.25"/>
  <cols>
    <col min="1" max="1" width="13.140625" bestFit="1" customWidth="1"/>
    <col min="2" max="2" width="40.5703125" bestFit="1" customWidth="1"/>
    <col min="3" max="3" width="11.28515625" bestFit="1" customWidth="1"/>
    <col min="4" max="4" width="8.7109375" bestFit="1" customWidth="1"/>
    <col min="5" max="5" width="13.42578125" bestFit="1" customWidth="1"/>
    <col min="6" max="6" width="10.140625" bestFit="1" customWidth="1"/>
    <col min="7" max="7" width="10.7109375" bestFit="1" customWidth="1"/>
    <col min="8" max="8" width="13.85546875" bestFit="1" customWidth="1"/>
    <col min="9" max="9" width="10.7109375" bestFit="1" customWidth="1"/>
    <col min="10" max="10" width="18.28515625" bestFit="1" customWidth="1"/>
    <col min="11" max="11" width="12.42578125" bestFit="1" customWidth="1"/>
    <col min="12" max="12" width="17.7109375" bestFit="1" customWidth="1"/>
    <col min="13" max="13" width="18.28515625" bestFit="1" customWidth="1"/>
    <col min="14" max="14" width="103.140625" bestFit="1" customWidth="1"/>
    <col min="15" max="15" width="12.85546875" bestFit="1" customWidth="1"/>
  </cols>
  <sheetData>
    <row r="1" spans="1:15" x14ac:dyDescent="0.25">
      <c r="D1" s="7"/>
      <c r="F1" s="6">
        <f>AVERAGE(F3:F62)</f>
        <v>1.9925486466913616</v>
      </c>
      <c r="G1" s="5"/>
      <c r="H1" s="5"/>
      <c r="I1" s="8">
        <f>AVERAGE(I3:I62)</f>
        <v>0.46635812530147736</v>
      </c>
      <c r="J1" s="7"/>
    </row>
    <row r="2" spans="1:15" x14ac:dyDescent="0.25">
      <c r="A2" s="2" t="s">
        <v>63</v>
      </c>
      <c r="B2" s="2" t="s">
        <v>0</v>
      </c>
      <c r="C2" s="4" t="s">
        <v>6</v>
      </c>
      <c r="D2" s="4" t="s">
        <v>44</v>
      </c>
      <c r="E2" s="2" t="s">
        <v>30</v>
      </c>
      <c r="F2" s="2" t="s">
        <v>7</v>
      </c>
      <c r="G2" s="4" t="s">
        <v>1</v>
      </c>
      <c r="H2" s="4" t="s">
        <v>128</v>
      </c>
      <c r="I2" s="2" t="s">
        <v>42</v>
      </c>
      <c r="J2" s="2" t="s">
        <v>71</v>
      </c>
      <c r="K2" s="2" t="s">
        <v>72</v>
      </c>
      <c r="L2" s="2" t="s">
        <v>74</v>
      </c>
      <c r="M2" s="2" t="s">
        <v>75</v>
      </c>
      <c r="N2" s="2" t="s">
        <v>70</v>
      </c>
      <c r="O2" s="2" t="s">
        <v>77</v>
      </c>
    </row>
    <row r="3" spans="1:15" x14ac:dyDescent="0.25">
      <c r="A3" t="s">
        <v>64</v>
      </c>
      <c r="B3" s="13" t="s">
        <v>5</v>
      </c>
      <c r="C3" s="5">
        <v>6.95</v>
      </c>
      <c r="D3" s="5">
        <f>C3*(1+VLOOKUP(E3,'Taxas Serviços'!A:B,2,FALSE))</f>
        <v>7.6450000000000005</v>
      </c>
      <c r="E3" t="s">
        <v>31</v>
      </c>
      <c r="F3" s="6">
        <f>H3/D3</f>
        <v>2.3982995421844344</v>
      </c>
      <c r="G3" s="5">
        <v>19</v>
      </c>
      <c r="H3" s="5">
        <f>G3*(1-3.5%)</f>
        <v>18.335000000000001</v>
      </c>
      <c r="I3" s="8">
        <f>(H3-D3)/G3</f>
        <v>0.56263157894736848</v>
      </c>
      <c r="J3" t="s">
        <v>73</v>
      </c>
      <c r="K3" s="5">
        <v>11.99</v>
      </c>
      <c r="L3" s="6">
        <f>K3/D3</f>
        <v>1.5683453237410072</v>
      </c>
      <c r="M3" s="8">
        <f>(K3-D3)/K3</f>
        <v>0.36238532110091742</v>
      </c>
      <c r="N3" t="s">
        <v>76</v>
      </c>
      <c r="O3" t="s">
        <v>78</v>
      </c>
    </row>
    <row r="4" spans="1:15" x14ac:dyDescent="0.25">
      <c r="A4" t="s">
        <v>64</v>
      </c>
      <c r="B4" s="13" t="s">
        <v>3</v>
      </c>
      <c r="C4" s="5">
        <v>2</v>
      </c>
      <c r="D4" s="5">
        <f>C4*(1+VLOOKUP(E4,'Taxas Serviços'!A:B,2,FALSE))</f>
        <v>2</v>
      </c>
      <c r="E4" t="s">
        <v>88</v>
      </c>
      <c r="F4" s="6">
        <f t="shared" ref="F4:F62" si="0">H4/D4</f>
        <v>2.4125000000000001</v>
      </c>
      <c r="G4" s="5">
        <v>5</v>
      </c>
      <c r="H4" s="5">
        <f t="shared" ref="H4:H62" si="1">G4*(1-3.5%)</f>
        <v>4.8250000000000002</v>
      </c>
      <c r="I4" s="8">
        <f t="shared" ref="I4:I62" si="2">(H4-D4)/G4</f>
        <v>0.56500000000000006</v>
      </c>
      <c r="J4" t="s">
        <v>79</v>
      </c>
      <c r="K4" s="5">
        <v>4.99</v>
      </c>
      <c r="L4" s="6">
        <f>K4/D4</f>
        <v>2.4950000000000001</v>
      </c>
      <c r="M4" s="8">
        <f>(K4-D4)/K4</f>
        <v>0.59919839679358722</v>
      </c>
      <c r="N4" s="9" t="s">
        <v>80</v>
      </c>
      <c r="O4" t="s">
        <v>78</v>
      </c>
    </row>
    <row r="5" spans="1:15" x14ac:dyDescent="0.25">
      <c r="A5" t="s">
        <v>64</v>
      </c>
      <c r="B5" s="13" t="s">
        <v>33</v>
      </c>
      <c r="C5" s="5">
        <v>4.9933333333333332</v>
      </c>
      <c r="D5" s="5">
        <f>C5*(1+VLOOKUP(E5,'Taxas Serviços'!A:B,2,FALSE))</f>
        <v>5.4926666666666666</v>
      </c>
      <c r="E5" t="s">
        <v>32</v>
      </c>
      <c r="F5" s="6">
        <f t="shared" si="0"/>
        <v>1.7393190921228303</v>
      </c>
      <c r="G5" s="5">
        <v>9.9</v>
      </c>
      <c r="H5" s="5">
        <f t="shared" si="1"/>
        <v>9.5534999999999997</v>
      </c>
      <c r="I5" s="8">
        <f t="shared" si="2"/>
        <v>0.41018518518518515</v>
      </c>
      <c r="J5" t="s">
        <v>81</v>
      </c>
      <c r="K5" s="5">
        <v>9.99</v>
      </c>
      <c r="L5" s="6">
        <f>K5/D5</f>
        <v>1.8187886879475665</v>
      </c>
      <c r="M5" s="8">
        <f>(K5-D5)/K5</f>
        <v>0.45018351685018354</v>
      </c>
      <c r="N5" t="s">
        <v>82</v>
      </c>
      <c r="O5" t="s">
        <v>78</v>
      </c>
    </row>
    <row r="6" spans="1:15" x14ac:dyDescent="0.25">
      <c r="A6" t="s">
        <v>64</v>
      </c>
      <c r="B6" s="13" t="s">
        <v>34</v>
      </c>
      <c r="C6" s="5">
        <v>4.9933333333333332</v>
      </c>
      <c r="D6" s="5">
        <f>C6*(1+VLOOKUP(E6,'Taxas Serviços'!A:B,2,FALSE))</f>
        <v>5.4926666666666666</v>
      </c>
      <c r="E6" t="s">
        <v>32</v>
      </c>
      <c r="F6" s="6">
        <f t="shared" si="0"/>
        <v>1.7393190921228303</v>
      </c>
      <c r="G6" s="5">
        <v>9.9</v>
      </c>
      <c r="H6" s="5">
        <f t="shared" si="1"/>
        <v>9.5534999999999997</v>
      </c>
      <c r="I6" s="8">
        <f t="shared" si="2"/>
        <v>0.41018518518518515</v>
      </c>
      <c r="J6" t="s">
        <v>81</v>
      </c>
      <c r="K6" s="5">
        <v>9.99</v>
      </c>
      <c r="L6" s="6">
        <f>K6/D6</f>
        <v>1.8187886879475665</v>
      </c>
      <c r="M6" s="8">
        <f>(K6-D6)/K6</f>
        <v>0.45018351685018354</v>
      </c>
      <c r="N6" t="s">
        <v>83</v>
      </c>
      <c r="O6" t="s">
        <v>78</v>
      </c>
    </row>
    <row r="7" spans="1:15" x14ac:dyDescent="0.25">
      <c r="A7" t="s">
        <v>64</v>
      </c>
      <c r="B7" s="13" t="s">
        <v>35</v>
      </c>
      <c r="C7" s="5">
        <v>5.3266666666666662</v>
      </c>
      <c r="D7" s="5">
        <f>C7*(1+VLOOKUP(E7,'Taxas Serviços'!A:B,2,FALSE))</f>
        <v>5.8593333333333337</v>
      </c>
      <c r="E7" t="s">
        <v>32</v>
      </c>
      <c r="F7" s="6">
        <f t="shared" si="0"/>
        <v>1.9763340539310501</v>
      </c>
      <c r="G7" s="5">
        <v>12</v>
      </c>
      <c r="H7" s="5">
        <f t="shared" si="1"/>
        <v>11.58</v>
      </c>
      <c r="I7" s="8">
        <f t="shared" si="2"/>
        <v>0.47672222222222221</v>
      </c>
      <c r="J7" t="s">
        <v>79</v>
      </c>
      <c r="K7" s="5">
        <v>13.99</v>
      </c>
      <c r="L7" s="6">
        <f>K7/D7</f>
        <v>2.3876436454659231</v>
      </c>
      <c r="M7" s="8">
        <f>(K7-D7)/K7</f>
        <v>0.58117703121277098</v>
      </c>
      <c r="N7" s="9" t="s">
        <v>80</v>
      </c>
      <c r="O7" t="s">
        <v>78</v>
      </c>
    </row>
    <row r="8" spans="1:15" x14ac:dyDescent="0.25">
      <c r="A8" t="s">
        <v>64</v>
      </c>
      <c r="B8" s="16" t="s">
        <v>36</v>
      </c>
      <c r="C8" s="5">
        <v>4.9933333333333332</v>
      </c>
      <c r="D8" s="5">
        <f>C8*(1+VLOOKUP(E8,'Taxas Serviços'!A:B,2,FALSE))</f>
        <v>5.4926666666666666</v>
      </c>
      <c r="E8" t="s">
        <v>32</v>
      </c>
      <c r="F8" s="6">
        <f t="shared" si="0"/>
        <v>1.7393190921228303</v>
      </c>
      <c r="G8" s="5">
        <v>9.9</v>
      </c>
      <c r="H8" s="5">
        <f t="shared" si="1"/>
        <v>9.5534999999999997</v>
      </c>
      <c r="I8" s="8">
        <f t="shared" si="2"/>
        <v>0.41018518518518515</v>
      </c>
      <c r="J8" t="s">
        <v>79</v>
      </c>
      <c r="K8" s="5">
        <v>13.99</v>
      </c>
      <c r="L8" s="6">
        <f>K8/D8</f>
        <v>2.5470324068454908</v>
      </c>
      <c r="M8" s="8">
        <f>(K8-D8)/K8</f>
        <v>0.6073862282582797</v>
      </c>
      <c r="N8" s="9" t="s">
        <v>80</v>
      </c>
      <c r="O8" t="s">
        <v>78</v>
      </c>
    </row>
    <row r="9" spans="1:15" x14ac:dyDescent="0.25">
      <c r="A9" t="s">
        <v>64</v>
      </c>
      <c r="B9" s="13" t="s">
        <v>49</v>
      </c>
      <c r="C9" s="5">
        <v>4.9933333333333332</v>
      </c>
      <c r="D9" s="5">
        <f>C9*(1+VLOOKUP(E9,'Taxas Serviços'!A:B,2,FALSE))</f>
        <v>5.4926666666666666</v>
      </c>
      <c r="E9" t="s">
        <v>32</v>
      </c>
      <c r="F9" s="6">
        <f t="shared" si="0"/>
        <v>1.7393190921228303</v>
      </c>
      <c r="G9" s="5">
        <v>9.9</v>
      </c>
      <c r="H9" s="5">
        <f t="shared" si="1"/>
        <v>9.5534999999999997</v>
      </c>
      <c r="I9" s="8">
        <f t="shared" si="2"/>
        <v>0.41018518518518515</v>
      </c>
      <c r="J9" t="s">
        <v>79</v>
      </c>
      <c r="K9" s="5">
        <v>12.9</v>
      </c>
      <c r="L9" s="6">
        <f>K9/D9</f>
        <v>2.3485859934458064</v>
      </c>
      <c r="M9" s="8">
        <f>(K9-D9)/K9</f>
        <v>0.5742118863049096</v>
      </c>
      <c r="N9" s="9" t="s">
        <v>80</v>
      </c>
      <c r="O9" t="s">
        <v>78</v>
      </c>
    </row>
    <row r="10" spans="1:15" x14ac:dyDescent="0.25">
      <c r="A10" t="s">
        <v>64</v>
      </c>
      <c r="B10" s="13" t="s">
        <v>37</v>
      </c>
      <c r="C10" s="5">
        <v>3.9866666666666668</v>
      </c>
      <c r="D10" s="5">
        <f>C10*(1+VLOOKUP(E10,'Taxas Serviços'!A:B,2,FALSE))</f>
        <v>4.3853333333333335</v>
      </c>
      <c r="E10" t="s">
        <v>32</v>
      </c>
      <c r="F10" s="6">
        <f t="shared" si="0"/>
        <v>2.1785117056856187</v>
      </c>
      <c r="G10" s="5">
        <v>9.9</v>
      </c>
      <c r="H10" s="5">
        <f t="shared" si="1"/>
        <v>9.5534999999999997</v>
      </c>
      <c r="I10" s="8">
        <f t="shared" si="2"/>
        <v>0.52203703703703697</v>
      </c>
      <c r="J10" t="s">
        <v>73</v>
      </c>
      <c r="K10" s="5">
        <v>13.99</v>
      </c>
      <c r="L10" s="6">
        <f>K10/D10</f>
        <v>3.1901793858315597</v>
      </c>
      <c r="M10" s="8">
        <f>(K10-D10)/K10</f>
        <v>0.68653800333571602</v>
      </c>
      <c r="N10" s="9" t="s">
        <v>84</v>
      </c>
      <c r="O10" t="s">
        <v>78</v>
      </c>
    </row>
    <row r="11" spans="1:15" x14ac:dyDescent="0.25">
      <c r="A11" t="s">
        <v>64</v>
      </c>
      <c r="B11" s="13" t="s">
        <v>114</v>
      </c>
      <c r="C11" s="5">
        <v>3.9866666666666668</v>
      </c>
      <c r="D11" s="5">
        <f>C11*(1+VLOOKUP(E11,'Taxas Serviços'!A:B,2,FALSE))</f>
        <v>4.3853333333333335</v>
      </c>
      <c r="E11" t="s">
        <v>32</v>
      </c>
      <c r="F11" s="6">
        <f t="shared" si="0"/>
        <v>2.1785117056856187</v>
      </c>
      <c r="G11" s="5">
        <v>9.9</v>
      </c>
      <c r="H11" s="5">
        <f t="shared" si="1"/>
        <v>9.5534999999999997</v>
      </c>
      <c r="I11" s="8">
        <f t="shared" si="2"/>
        <v>0.52203703703703697</v>
      </c>
      <c r="J11" t="s">
        <v>73</v>
      </c>
      <c r="K11" s="5">
        <v>13.99</v>
      </c>
      <c r="L11" s="6">
        <f>K11/D11</f>
        <v>3.1901793858315597</v>
      </c>
      <c r="M11" s="8">
        <f>(K11-D11)/K11</f>
        <v>0.68653800333571602</v>
      </c>
      <c r="N11" s="9" t="s">
        <v>84</v>
      </c>
      <c r="O11" t="s">
        <v>78</v>
      </c>
    </row>
    <row r="12" spans="1:15" x14ac:dyDescent="0.25">
      <c r="A12" t="s">
        <v>64</v>
      </c>
      <c r="B12" s="13" t="s">
        <v>2</v>
      </c>
      <c r="C12" s="5">
        <v>1.375</v>
      </c>
      <c r="D12" s="5">
        <f>C12*(1+VLOOKUP(E12,'Taxas Serviços'!A:B,2,FALSE))</f>
        <v>1.375</v>
      </c>
      <c r="E12" t="s">
        <v>88</v>
      </c>
      <c r="F12" s="6">
        <f t="shared" si="0"/>
        <v>2.2809090909090908</v>
      </c>
      <c r="G12" s="5">
        <v>3.25</v>
      </c>
      <c r="H12" s="5">
        <f t="shared" si="1"/>
        <v>3.13625</v>
      </c>
      <c r="I12" s="8">
        <f t="shared" si="2"/>
        <v>0.54192307692307695</v>
      </c>
      <c r="J12" t="s">
        <v>85</v>
      </c>
      <c r="K12" s="5">
        <v>3.25</v>
      </c>
      <c r="L12" s="6">
        <f>K12/D12</f>
        <v>2.3636363636363638</v>
      </c>
      <c r="M12" s="8">
        <f>(K12-D12)/K12</f>
        <v>0.57692307692307687</v>
      </c>
      <c r="N12" s="9" t="s">
        <v>86</v>
      </c>
      <c r="O12" t="s">
        <v>78</v>
      </c>
    </row>
    <row r="13" spans="1:15" x14ac:dyDescent="0.25">
      <c r="A13" t="s">
        <v>64</v>
      </c>
      <c r="B13" s="13" t="s">
        <v>38</v>
      </c>
      <c r="C13" s="5">
        <v>1.375</v>
      </c>
      <c r="D13" s="5">
        <f>C13*(1+VLOOKUP(E13,'Taxas Serviços'!A:B,2,FALSE))</f>
        <v>1.375</v>
      </c>
      <c r="E13" t="s">
        <v>88</v>
      </c>
      <c r="F13" s="6">
        <f t="shared" si="0"/>
        <v>2.2809090909090908</v>
      </c>
      <c r="G13" s="5">
        <v>3.25</v>
      </c>
      <c r="H13" s="5">
        <f t="shared" si="1"/>
        <v>3.13625</v>
      </c>
      <c r="I13" s="8">
        <f t="shared" si="2"/>
        <v>0.54192307692307695</v>
      </c>
      <c r="J13" t="s">
        <v>85</v>
      </c>
      <c r="K13" s="5">
        <v>3.25</v>
      </c>
      <c r="L13" s="6">
        <f>K13/D13</f>
        <v>2.3636363636363638</v>
      </c>
      <c r="M13" s="8">
        <f>(K13-D13)/K13</f>
        <v>0.57692307692307687</v>
      </c>
      <c r="N13" s="9" t="s">
        <v>86</v>
      </c>
      <c r="O13" t="s">
        <v>78</v>
      </c>
    </row>
    <row r="14" spans="1:15" x14ac:dyDescent="0.25">
      <c r="A14" t="s">
        <v>64</v>
      </c>
      <c r="B14" s="13" t="s">
        <v>39</v>
      </c>
      <c r="C14" s="5">
        <v>1.375</v>
      </c>
      <c r="D14" s="5">
        <f>C14*(1+VLOOKUP(E14,'Taxas Serviços'!A:B,2,FALSE))</f>
        <v>1.375</v>
      </c>
      <c r="E14" t="s">
        <v>88</v>
      </c>
      <c r="F14" s="6">
        <f t="shared" si="0"/>
        <v>2.2809090909090908</v>
      </c>
      <c r="G14" s="5">
        <v>3.25</v>
      </c>
      <c r="H14" s="5">
        <f t="shared" si="1"/>
        <v>3.13625</v>
      </c>
      <c r="I14" s="8">
        <f t="shared" si="2"/>
        <v>0.54192307692307695</v>
      </c>
      <c r="J14" t="s">
        <v>85</v>
      </c>
      <c r="K14" s="5">
        <v>3.25</v>
      </c>
      <c r="L14" s="6">
        <f>K14/D14</f>
        <v>2.3636363636363638</v>
      </c>
      <c r="M14" s="8">
        <f>(K14-D14)/K14</f>
        <v>0.57692307692307687</v>
      </c>
      <c r="N14" s="9" t="s">
        <v>86</v>
      </c>
      <c r="O14" t="s">
        <v>78</v>
      </c>
    </row>
    <row r="15" spans="1:15" x14ac:dyDescent="0.25">
      <c r="A15" t="s">
        <v>64</v>
      </c>
      <c r="B15" s="13" t="s">
        <v>40</v>
      </c>
      <c r="C15" s="5">
        <v>1.375</v>
      </c>
      <c r="D15" s="5">
        <f>C15*(1+VLOOKUP(E15,'Taxas Serviços'!A:B,2,FALSE))</f>
        <v>1.375</v>
      </c>
      <c r="E15" t="s">
        <v>88</v>
      </c>
      <c r="F15" s="6">
        <f t="shared" si="0"/>
        <v>2.2809090909090908</v>
      </c>
      <c r="G15" s="5">
        <v>3.25</v>
      </c>
      <c r="H15" s="5">
        <f t="shared" si="1"/>
        <v>3.13625</v>
      </c>
      <c r="I15" s="8">
        <f t="shared" si="2"/>
        <v>0.54192307692307695</v>
      </c>
      <c r="J15" t="s">
        <v>85</v>
      </c>
      <c r="K15" s="5">
        <v>3.25</v>
      </c>
      <c r="L15" s="6">
        <f>K15/D15</f>
        <v>2.3636363636363638</v>
      </c>
      <c r="M15" s="8">
        <f>(K15-D15)/K15</f>
        <v>0.57692307692307687</v>
      </c>
      <c r="N15" s="9" t="s">
        <v>86</v>
      </c>
      <c r="O15" t="s">
        <v>78</v>
      </c>
    </row>
    <row r="16" spans="1:15" x14ac:dyDescent="0.25">
      <c r="A16" t="s">
        <v>64</v>
      </c>
      <c r="B16" s="13" t="s">
        <v>41</v>
      </c>
      <c r="C16" s="5">
        <v>1.375</v>
      </c>
      <c r="D16" s="5">
        <f>C16*(1+VLOOKUP(E16,'Taxas Serviços'!A:B,2,FALSE))</f>
        <v>1.375</v>
      </c>
      <c r="E16" t="s">
        <v>88</v>
      </c>
      <c r="F16" s="6">
        <f t="shared" si="0"/>
        <v>2.2809090909090908</v>
      </c>
      <c r="G16" s="5">
        <v>3.25</v>
      </c>
      <c r="H16" s="5">
        <f t="shared" si="1"/>
        <v>3.13625</v>
      </c>
      <c r="I16" s="8">
        <f t="shared" si="2"/>
        <v>0.54192307692307695</v>
      </c>
      <c r="J16" t="s">
        <v>85</v>
      </c>
      <c r="K16" s="5">
        <v>3.25</v>
      </c>
      <c r="L16" s="6">
        <f>K16/D16</f>
        <v>2.3636363636363638</v>
      </c>
      <c r="M16" s="8">
        <f>(K16-D16)/K16</f>
        <v>0.57692307692307687</v>
      </c>
      <c r="N16" s="9" t="s">
        <v>86</v>
      </c>
      <c r="O16" t="s">
        <v>78</v>
      </c>
    </row>
    <row r="17" spans="1:15" x14ac:dyDescent="0.25">
      <c r="A17" t="s">
        <v>64</v>
      </c>
      <c r="B17" s="13" t="s">
        <v>87</v>
      </c>
      <c r="C17" s="5">
        <v>1.375</v>
      </c>
      <c r="D17" s="5">
        <f>C17*(1+VLOOKUP(E17,'Taxas Serviços'!A:B,2,FALSE))</f>
        <v>1.375</v>
      </c>
      <c r="E17" t="s">
        <v>88</v>
      </c>
      <c r="F17" s="6">
        <f t="shared" si="0"/>
        <v>2.2809090909090908</v>
      </c>
      <c r="G17" s="5">
        <v>3.25</v>
      </c>
      <c r="H17" s="5">
        <f t="shared" si="1"/>
        <v>3.13625</v>
      </c>
      <c r="I17" s="8">
        <f t="shared" si="2"/>
        <v>0.54192307692307695</v>
      </c>
      <c r="J17" t="s">
        <v>85</v>
      </c>
      <c r="K17" s="5">
        <v>3.25</v>
      </c>
      <c r="L17" s="6">
        <f>K17/D17</f>
        <v>2.3636363636363638</v>
      </c>
      <c r="M17" s="8">
        <f>(K17-D17)/K17</f>
        <v>0.57692307692307687</v>
      </c>
      <c r="N17" s="9" t="s">
        <v>86</v>
      </c>
      <c r="O17" t="s">
        <v>78</v>
      </c>
    </row>
    <row r="18" spans="1:15" x14ac:dyDescent="0.25">
      <c r="A18" t="s">
        <v>65</v>
      </c>
      <c r="B18" s="16" t="s">
        <v>8</v>
      </c>
      <c r="C18" s="5">
        <v>3.3793333333333333</v>
      </c>
      <c r="D18" s="5">
        <f>C18*(1+VLOOKUP(E18,'Taxas Serviços'!A:B,2,FALSE))</f>
        <v>3.4807133333333335</v>
      </c>
      <c r="E18" t="s">
        <v>52</v>
      </c>
      <c r="F18" s="6">
        <f t="shared" si="0"/>
        <v>1.2475890957217581</v>
      </c>
      <c r="G18" s="17">
        <v>4.5</v>
      </c>
      <c r="H18" s="5">
        <f t="shared" si="1"/>
        <v>4.3425000000000002</v>
      </c>
      <c r="I18" s="8">
        <f t="shared" si="2"/>
        <v>0.19150814814814815</v>
      </c>
    </row>
    <row r="19" spans="1:15" x14ac:dyDescent="0.25">
      <c r="A19" t="s">
        <v>65</v>
      </c>
      <c r="B19" s="13" t="s">
        <v>9</v>
      </c>
      <c r="C19" s="5">
        <v>3.67</v>
      </c>
      <c r="D19" s="5">
        <f>C19*(1+VLOOKUP(E19,'Taxas Serviços'!A:B,2,FALSE))</f>
        <v>3.7801</v>
      </c>
      <c r="E19" t="s">
        <v>43</v>
      </c>
      <c r="F19" s="6">
        <f t="shared" si="0"/>
        <v>1.9146318880452897</v>
      </c>
      <c r="G19" s="5">
        <v>7.5</v>
      </c>
      <c r="H19" s="5">
        <f t="shared" si="1"/>
        <v>7.2374999999999998</v>
      </c>
      <c r="I19" s="8">
        <f t="shared" si="2"/>
        <v>0.46098666666666666</v>
      </c>
    </row>
    <row r="20" spans="1:15" x14ac:dyDescent="0.25">
      <c r="A20" t="s">
        <v>65</v>
      </c>
      <c r="B20" s="13" t="s">
        <v>93</v>
      </c>
      <c r="C20" s="5">
        <v>2.79</v>
      </c>
      <c r="D20" s="5">
        <f>C20*(1+VLOOKUP(E20,'Taxas Serviços'!A:B,2,FALSE))</f>
        <v>2.8736999999999999</v>
      </c>
      <c r="E20" t="s">
        <v>43</v>
      </c>
      <c r="F20" s="6">
        <f t="shared" si="0"/>
        <v>1.5111180707798311</v>
      </c>
      <c r="G20" s="17">
        <v>4.5</v>
      </c>
      <c r="H20" s="5">
        <f t="shared" si="1"/>
        <v>4.3425000000000002</v>
      </c>
      <c r="I20" s="8">
        <f t="shared" si="2"/>
        <v>0.32640000000000008</v>
      </c>
    </row>
    <row r="21" spans="1:15" x14ac:dyDescent="0.25">
      <c r="A21" t="s">
        <v>65</v>
      </c>
      <c r="B21" s="13" t="s">
        <v>90</v>
      </c>
      <c r="C21" s="5">
        <v>2.4233333333333329</v>
      </c>
      <c r="D21" s="5">
        <f>C21*(1+VLOOKUP(E21,'Taxas Serviços'!A:B,2,FALSE))</f>
        <v>2.4960333333333331</v>
      </c>
      <c r="E21" t="s">
        <v>52</v>
      </c>
      <c r="F21" s="6">
        <f t="shared" si="0"/>
        <v>1.9330671331846532</v>
      </c>
      <c r="G21" s="17">
        <v>5</v>
      </c>
      <c r="H21" s="5">
        <f t="shared" si="1"/>
        <v>4.8250000000000002</v>
      </c>
      <c r="I21" s="8">
        <f t="shared" si="2"/>
        <v>0.46579333333333339</v>
      </c>
    </row>
    <row r="22" spans="1:15" x14ac:dyDescent="0.25">
      <c r="A22" t="s">
        <v>65</v>
      </c>
      <c r="B22" s="13" t="s">
        <v>91</v>
      </c>
      <c r="C22" s="5">
        <v>2.95</v>
      </c>
      <c r="D22" s="5">
        <f>C22*(1+VLOOKUP(E22,'Taxas Serviços'!A:B,2,FALSE))</f>
        <v>3.0385000000000004</v>
      </c>
      <c r="E22" t="s">
        <v>52</v>
      </c>
      <c r="F22" s="6">
        <f t="shared" si="0"/>
        <v>1.4291591245680433</v>
      </c>
      <c r="G22" s="17">
        <v>4.5</v>
      </c>
      <c r="H22" s="5">
        <f t="shared" si="1"/>
        <v>4.3425000000000002</v>
      </c>
      <c r="I22" s="8">
        <f t="shared" si="2"/>
        <v>0.28977777777777775</v>
      </c>
    </row>
    <row r="23" spans="1:15" x14ac:dyDescent="0.25">
      <c r="A23" t="s">
        <v>65</v>
      </c>
      <c r="B23" s="13" t="s">
        <v>97</v>
      </c>
      <c r="C23" s="5">
        <v>2.39</v>
      </c>
      <c r="D23" s="5">
        <f>C23*(1+VLOOKUP(E23,'Taxas Serviços'!A:B,2,FALSE))</f>
        <v>2.4617</v>
      </c>
      <c r="E23" t="s">
        <v>52</v>
      </c>
      <c r="F23" s="6">
        <f t="shared" si="0"/>
        <v>2.3520331478246739</v>
      </c>
      <c r="G23" s="5">
        <v>6</v>
      </c>
      <c r="H23" s="5">
        <f t="shared" si="1"/>
        <v>5.79</v>
      </c>
      <c r="I23" s="8">
        <f t="shared" si="2"/>
        <v>0.55471666666666664</v>
      </c>
    </row>
    <row r="24" spans="1:15" x14ac:dyDescent="0.25">
      <c r="A24" t="s">
        <v>65</v>
      </c>
      <c r="B24" s="13" t="s">
        <v>92</v>
      </c>
      <c r="C24" s="5">
        <v>2.58</v>
      </c>
      <c r="D24" s="5">
        <f>C24*(1+VLOOKUP(E24,'Taxas Serviços'!A:B,2,FALSE))</f>
        <v>2.6574</v>
      </c>
      <c r="E24" t="s">
        <v>52</v>
      </c>
      <c r="F24" s="6">
        <f t="shared" si="0"/>
        <v>1.4525476029201474</v>
      </c>
      <c r="G24" s="17">
        <v>4</v>
      </c>
      <c r="H24" s="5">
        <f t="shared" si="1"/>
        <v>3.86</v>
      </c>
      <c r="I24" s="8">
        <f t="shared" si="2"/>
        <v>0.30064999999999997</v>
      </c>
    </row>
    <row r="25" spans="1:15" x14ac:dyDescent="0.25">
      <c r="A25" t="s">
        <v>65</v>
      </c>
      <c r="B25" t="s">
        <v>46</v>
      </c>
      <c r="C25" s="5">
        <v>2.95</v>
      </c>
      <c r="D25" s="5">
        <f>C25*(1+VLOOKUP(E25,'Taxas Serviços'!A:B,2,FALSE))</f>
        <v>3.0385000000000004</v>
      </c>
      <c r="E25" t="s">
        <v>43</v>
      </c>
      <c r="F25" s="6">
        <f t="shared" si="0"/>
        <v>2.0643409577093959</v>
      </c>
      <c r="G25" s="5">
        <v>6.5</v>
      </c>
      <c r="H25" s="5">
        <f t="shared" si="1"/>
        <v>6.2725</v>
      </c>
      <c r="I25" s="8">
        <f t="shared" si="2"/>
        <v>0.49753846153846149</v>
      </c>
    </row>
    <row r="26" spans="1:15" x14ac:dyDescent="0.25">
      <c r="A26" t="s">
        <v>65</v>
      </c>
      <c r="B26" t="s">
        <v>47</v>
      </c>
      <c r="C26" s="5">
        <v>3.11</v>
      </c>
      <c r="D26" s="5">
        <f>C26*(1+VLOOKUP(E26,'Taxas Serviços'!A:B,2,FALSE))</f>
        <v>3.2033</v>
      </c>
      <c r="E26" t="s">
        <v>43</v>
      </c>
      <c r="F26" s="6">
        <f t="shared" si="0"/>
        <v>1.9581369212999093</v>
      </c>
      <c r="G26" s="5">
        <v>6.5</v>
      </c>
      <c r="H26" s="5">
        <f t="shared" si="1"/>
        <v>6.2725</v>
      </c>
      <c r="I26" s="8">
        <f t="shared" si="2"/>
        <v>0.47218461538461537</v>
      </c>
    </row>
    <row r="27" spans="1:15" x14ac:dyDescent="0.25">
      <c r="A27" t="s">
        <v>65</v>
      </c>
      <c r="B27" t="s">
        <v>45</v>
      </c>
      <c r="C27" s="5">
        <v>3.29</v>
      </c>
      <c r="D27" s="5">
        <f>C27*(1+VLOOKUP(E27,'Taxas Serviços'!A:B,2,FALSE))</f>
        <v>3.6190000000000002</v>
      </c>
      <c r="E27" t="s">
        <v>32</v>
      </c>
      <c r="F27" s="6">
        <f t="shared" si="0"/>
        <v>1.8665377176015472</v>
      </c>
      <c r="G27" s="5">
        <v>7</v>
      </c>
      <c r="H27" s="5">
        <f t="shared" si="1"/>
        <v>6.7549999999999999</v>
      </c>
      <c r="I27" s="8">
        <f t="shared" si="2"/>
        <v>0.44799999999999995</v>
      </c>
    </row>
    <row r="28" spans="1:15" x14ac:dyDescent="0.25">
      <c r="A28" t="s">
        <v>66</v>
      </c>
      <c r="B28" s="3" t="s">
        <v>10</v>
      </c>
      <c r="C28" s="5">
        <v>5.15</v>
      </c>
      <c r="D28" s="5">
        <f>C28*(1+VLOOKUP(E28,'Taxas Serviços'!A:B,2,FALSE))</f>
        <v>5.3045000000000009</v>
      </c>
      <c r="E28" t="s">
        <v>43</v>
      </c>
      <c r="F28" s="6">
        <f t="shared" si="0"/>
        <v>1.910170609859553</v>
      </c>
      <c r="G28" s="5">
        <v>10.5</v>
      </c>
      <c r="H28" s="5">
        <f t="shared" si="1"/>
        <v>10.1325</v>
      </c>
      <c r="I28" s="8">
        <f t="shared" si="2"/>
        <v>0.45980952380952378</v>
      </c>
    </row>
    <row r="29" spans="1:15" x14ac:dyDescent="0.25">
      <c r="A29" t="s">
        <v>66</v>
      </c>
      <c r="B29" s="3" t="s">
        <v>11</v>
      </c>
      <c r="C29" s="5">
        <v>2.4108333333333332</v>
      </c>
      <c r="D29" s="5">
        <f>C29*(1+VLOOKUP(E29,'Taxas Serviços'!A:B,2,FALSE))</f>
        <v>2.4831583333333334</v>
      </c>
      <c r="E29" t="s">
        <v>43</v>
      </c>
      <c r="F29" s="6">
        <f t="shared" si="0"/>
        <v>1.9430899492917286</v>
      </c>
      <c r="G29" s="5">
        <v>5</v>
      </c>
      <c r="H29" s="5">
        <f t="shared" si="1"/>
        <v>4.8250000000000002</v>
      </c>
      <c r="I29" s="8">
        <f t="shared" si="2"/>
        <v>0.46836833333333339</v>
      </c>
    </row>
    <row r="30" spans="1:15" x14ac:dyDescent="0.25">
      <c r="A30" t="s">
        <v>66</v>
      </c>
      <c r="B30" s="3" t="s">
        <v>12</v>
      </c>
      <c r="C30" s="5">
        <v>4.67</v>
      </c>
      <c r="D30" s="5">
        <f>C30*(1+VLOOKUP(E30,'Taxas Serviços'!A:B,2,FALSE))</f>
        <v>4.8101000000000003</v>
      </c>
      <c r="E30" t="s">
        <v>50</v>
      </c>
      <c r="F30" s="6">
        <f t="shared" si="0"/>
        <v>2.1065050622648176</v>
      </c>
      <c r="G30" s="5">
        <v>10.5</v>
      </c>
      <c r="H30" s="5">
        <f t="shared" si="1"/>
        <v>10.1325</v>
      </c>
      <c r="I30" s="8">
        <f t="shared" si="2"/>
        <v>0.50689523809523807</v>
      </c>
    </row>
    <row r="31" spans="1:15" x14ac:dyDescent="0.25">
      <c r="A31" t="s">
        <v>66</v>
      </c>
      <c r="B31" s="3" t="s">
        <v>13</v>
      </c>
      <c r="C31" s="5">
        <v>2.0299999999999998</v>
      </c>
      <c r="D31" s="5">
        <f>C31*(1+VLOOKUP(E31,'Taxas Serviços'!A:B,2,FALSE))</f>
        <v>2.0909</v>
      </c>
      <c r="E31" t="s">
        <v>50</v>
      </c>
      <c r="F31" s="6">
        <f t="shared" si="0"/>
        <v>2.307618728777082</v>
      </c>
      <c r="G31" s="5">
        <v>5</v>
      </c>
      <c r="H31" s="5">
        <f t="shared" si="1"/>
        <v>4.8250000000000002</v>
      </c>
      <c r="I31" s="8">
        <f t="shared" si="2"/>
        <v>0.54682000000000008</v>
      </c>
    </row>
    <row r="32" spans="1:15" x14ac:dyDescent="0.25">
      <c r="A32" t="s">
        <v>66</v>
      </c>
      <c r="B32" s="3" t="s">
        <v>14</v>
      </c>
      <c r="C32" s="5">
        <v>5.59</v>
      </c>
      <c r="D32" s="5">
        <f>C32*(1+VLOOKUP(E32,'Taxas Serviços'!A:B,2,FALSE))</f>
        <v>5.7576999999999998</v>
      </c>
      <c r="E32" t="s">
        <v>43</v>
      </c>
      <c r="F32" s="6">
        <f t="shared" si="0"/>
        <v>1.7598172881532557</v>
      </c>
      <c r="G32" s="5">
        <v>10.5</v>
      </c>
      <c r="H32" s="5">
        <f t="shared" si="1"/>
        <v>10.1325</v>
      </c>
      <c r="I32" s="8">
        <f t="shared" si="2"/>
        <v>0.4166476190476191</v>
      </c>
    </row>
    <row r="33" spans="1:9" x14ac:dyDescent="0.25">
      <c r="A33" t="s">
        <v>66</v>
      </c>
      <c r="B33" s="3" t="s">
        <v>15</v>
      </c>
      <c r="C33" s="5">
        <v>1.83</v>
      </c>
      <c r="D33" s="5">
        <f>C33*(1+VLOOKUP(E33,'Taxas Serviços'!A:B,2,FALSE))</f>
        <v>2.0130000000000003</v>
      </c>
      <c r="E33" t="s">
        <v>31</v>
      </c>
      <c r="F33" s="6">
        <f t="shared" si="0"/>
        <v>2.3969200198708394</v>
      </c>
      <c r="G33" s="5">
        <v>5</v>
      </c>
      <c r="H33" s="5">
        <f t="shared" si="1"/>
        <v>4.8250000000000002</v>
      </c>
      <c r="I33" s="8">
        <f t="shared" si="2"/>
        <v>0.56240000000000001</v>
      </c>
    </row>
    <row r="34" spans="1:9" x14ac:dyDescent="0.25">
      <c r="A34" t="s">
        <v>66</v>
      </c>
      <c r="B34" s="3" t="s">
        <v>16</v>
      </c>
      <c r="C34" s="5">
        <v>4.09</v>
      </c>
      <c r="D34" s="5">
        <f>C34*(1+VLOOKUP(E34,'Taxas Serviços'!A:B,2,FALSE))</f>
        <v>4.4990000000000006</v>
      </c>
      <c r="E34" t="s">
        <v>32</v>
      </c>
      <c r="F34" s="6">
        <f t="shared" si="0"/>
        <v>2.2521671482551677</v>
      </c>
      <c r="G34" s="5">
        <v>10.5</v>
      </c>
      <c r="H34" s="5">
        <f t="shared" si="1"/>
        <v>10.1325</v>
      </c>
      <c r="I34" s="8">
        <f t="shared" si="2"/>
        <v>0.53652380952380951</v>
      </c>
    </row>
    <row r="35" spans="1:9" x14ac:dyDescent="0.25">
      <c r="A35" t="s">
        <v>66</v>
      </c>
      <c r="B35" s="3" t="s">
        <v>17</v>
      </c>
      <c r="C35" s="5">
        <v>1.79</v>
      </c>
      <c r="D35" s="5">
        <f>C35*(1+VLOOKUP(E35,'Taxas Serviços'!A:B,2,FALSE))</f>
        <v>1.9690000000000003</v>
      </c>
      <c r="E35" t="s">
        <v>32</v>
      </c>
      <c r="F35" s="6">
        <f t="shared" si="0"/>
        <v>2.4504824784154389</v>
      </c>
      <c r="G35" s="5">
        <v>5</v>
      </c>
      <c r="H35" s="5">
        <f t="shared" si="1"/>
        <v>4.8250000000000002</v>
      </c>
      <c r="I35" s="8">
        <f t="shared" si="2"/>
        <v>0.57119999999999993</v>
      </c>
    </row>
    <row r="36" spans="1:9" x14ac:dyDescent="0.25">
      <c r="A36" t="s">
        <v>66</v>
      </c>
      <c r="B36" s="3" t="s">
        <v>18</v>
      </c>
      <c r="C36" s="5">
        <v>5.69</v>
      </c>
      <c r="D36" s="5">
        <f>C36*(1+VLOOKUP(E36,'Taxas Serviços'!A:B,2,FALSE))</f>
        <v>5.8607000000000005</v>
      </c>
      <c r="E36" t="s">
        <v>52</v>
      </c>
      <c r="F36" s="6">
        <f t="shared" si="0"/>
        <v>1.7288890405582951</v>
      </c>
      <c r="G36" s="5">
        <v>10.5</v>
      </c>
      <c r="H36" s="5">
        <f t="shared" si="1"/>
        <v>10.1325</v>
      </c>
      <c r="I36" s="8">
        <f t="shared" si="2"/>
        <v>0.40683809523809522</v>
      </c>
    </row>
    <row r="37" spans="1:9" x14ac:dyDescent="0.25">
      <c r="A37" t="s">
        <v>66</v>
      </c>
      <c r="B37" s="3" t="s">
        <v>51</v>
      </c>
      <c r="C37" s="5">
        <v>2.39</v>
      </c>
      <c r="D37" s="5">
        <f>C37*(1+VLOOKUP(E37,'Taxas Serviços'!A:B,2,FALSE))</f>
        <v>2.4617</v>
      </c>
      <c r="E37" t="s">
        <v>52</v>
      </c>
      <c r="F37" s="6">
        <f t="shared" si="0"/>
        <v>1.9600276231872285</v>
      </c>
      <c r="G37" s="5">
        <v>5</v>
      </c>
      <c r="H37" s="5">
        <f t="shared" si="1"/>
        <v>4.8250000000000002</v>
      </c>
      <c r="I37" s="8">
        <f t="shared" si="2"/>
        <v>0.47266000000000002</v>
      </c>
    </row>
    <row r="38" spans="1:9" x14ac:dyDescent="0.25">
      <c r="A38" t="s">
        <v>66</v>
      </c>
      <c r="B38" s="3" t="s">
        <v>19</v>
      </c>
      <c r="C38" s="5">
        <v>1.8700000000000003</v>
      </c>
      <c r="D38" s="5">
        <f>C38*(1+VLOOKUP(E38,'Taxas Serviços'!A:B,2,FALSE))</f>
        <v>2.0570000000000004</v>
      </c>
      <c r="E38" t="s">
        <v>32</v>
      </c>
      <c r="F38" s="6">
        <f t="shared" si="0"/>
        <v>2.3456490034030137</v>
      </c>
      <c r="G38" s="5">
        <v>5</v>
      </c>
      <c r="H38" s="5">
        <f t="shared" si="1"/>
        <v>4.8250000000000002</v>
      </c>
      <c r="I38" s="8">
        <f t="shared" si="2"/>
        <v>0.55359999999999998</v>
      </c>
    </row>
    <row r="39" spans="1:9" x14ac:dyDescent="0.25">
      <c r="A39" t="s">
        <v>67</v>
      </c>
      <c r="B39" s="3" t="s">
        <v>20</v>
      </c>
      <c r="C39" s="5">
        <v>5.99</v>
      </c>
      <c r="D39" s="5">
        <f>C39*(1+VLOOKUP(E39,'Taxas Serviços'!A:B,2,FALSE))</f>
        <v>6.5890000000000004</v>
      </c>
      <c r="E39" t="s">
        <v>32</v>
      </c>
      <c r="F39" s="6">
        <f t="shared" si="0"/>
        <v>1.6110183639398998</v>
      </c>
      <c r="G39" s="5">
        <v>11</v>
      </c>
      <c r="H39" s="5">
        <f t="shared" si="1"/>
        <v>10.615</v>
      </c>
      <c r="I39" s="8">
        <f t="shared" si="2"/>
        <v>0.36599999999999999</v>
      </c>
    </row>
    <row r="40" spans="1:9" x14ac:dyDescent="0.25">
      <c r="A40" t="s">
        <v>67</v>
      </c>
      <c r="B40" s="3" t="s">
        <v>21</v>
      </c>
      <c r="C40" s="5">
        <v>1.59</v>
      </c>
      <c r="D40" s="5">
        <f>C40*(1+VLOOKUP(E40,'Taxas Serviços'!A:B,2,FALSE))</f>
        <v>1.7490000000000003</v>
      </c>
      <c r="E40" t="s">
        <v>32</v>
      </c>
      <c r="F40" s="6">
        <f t="shared" si="0"/>
        <v>2.4828473413379069</v>
      </c>
      <c r="G40" s="5">
        <v>4.5</v>
      </c>
      <c r="H40" s="5">
        <f t="shared" si="1"/>
        <v>4.3425000000000002</v>
      </c>
      <c r="I40" s="8">
        <f t="shared" si="2"/>
        <v>0.57633333333333325</v>
      </c>
    </row>
    <row r="41" spans="1:9" x14ac:dyDescent="0.25">
      <c r="A41" t="s">
        <v>67</v>
      </c>
      <c r="B41" s="3" t="s">
        <v>22</v>
      </c>
      <c r="C41" s="5">
        <v>1.5555000000000001</v>
      </c>
      <c r="D41" s="5">
        <f>C41*(1+VLOOKUP(E41,'Taxas Serviços'!A:B,2,FALSE))</f>
        <v>1.6021650000000001</v>
      </c>
      <c r="E41" t="s">
        <v>50</v>
      </c>
      <c r="F41" s="6">
        <f t="shared" si="0"/>
        <v>1.8069299978466637</v>
      </c>
      <c r="G41" s="5">
        <v>3</v>
      </c>
      <c r="H41" s="5">
        <f t="shared" si="1"/>
        <v>2.895</v>
      </c>
      <c r="I41" s="8">
        <f t="shared" si="2"/>
        <v>0.43094499999999997</v>
      </c>
    </row>
    <row r="42" spans="1:9" x14ac:dyDescent="0.25">
      <c r="A42" t="s">
        <v>67</v>
      </c>
      <c r="B42" s="3" t="s">
        <v>23</v>
      </c>
      <c r="C42" s="5">
        <v>2.0145</v>
      </c>
      <c r="D42" s="5">
        <f>C42*(1+VLOOKUP(E42,'Taxas Serviços'!A:B,2,FALSE))</f>
        <v>2.074935</v>
      </c>
      <c r="E42" t="s">
        <v>50</v>
      </c>
      <c r="F42" s="6">
        <f t="shared" si="0"/>
        <v>1.8602992382893921</v>
      </c>
      <c r="G42" s="5">
        <v>4</v>
      </c>
      <c r="H42" s="5">
        <f t="shared" si="1"/>
        <v>3.86</v>
      </c>
      <c r="I42" s="8">
        <f t="shared" si="2"/>
        <v>0.44626624999999998</v>
      </c>
    </row>
    <row r="43" spans="1:9" x14ac:dyDescent="0.25">
      <c r="A43" t="s">
        <v>68</v>
      </c>
      <c r="B43" s="3" t="s">
        <v>59</v>
      </c>
      <c r="C43" s="5">
        <v>5.99</v>
      </c>
      <c r="D43" s="5">
        <f>C43*(1+VLOOKUP(E43,'Taxas Serviços'!A:B,2,FALSE))</f>
        <v>6.5890000000000004</v>
      </c>
      <c r="E43" t="s">
        <v>32</v>
      </c>
      <c r="F43" s="6">
        <f t="shared" si="0"/>
        <v>1.7574745788435271</v>
      </c>
      <c r="G43" s="5">
        <v>12</v>
      </c>
      <c r="H43" s="5">
        <f t="shared" si="1"/>
        <v>11.58</v>
      </c>
      <c r="I43" s="8">
        <f t="shared" si="2"/>
        <v>0.41591666666666666</v>
      </c>
    </row>
    <row r="44" spans="1:9" x14ac:dyDescent="0.25">
      <c r="A44" t="s">
        <v>68</v>
      </c>
      <c r="B44" s="3" t="s">
        <v>60</v>
      </c>
      <c r="C44" s="5">
        <v>7.59</v>
      </c>
      <c r="D44" s="5">
        <f>C44*(1+VLOOKUP(E44,'Taxas Serviços'!A:B,2,FALSE))</f>
        <v>7.8177000000000003</v>
      </c>
      <c r="E44" t="s">
        <v>52</v>
      </c>
      <c r="F44" s="6">
        <f t="shared" si="0"/>
        <v>1.4812540772861582</v>
      </c>
      <c r="G44" s="5">
        <v>12</v>
      </c>
      <c r="H44" s="5">
        <f t="shared" si="1"/>
        <v>11.58</v>
      </c>
      <c r="I44" s="8">
        <f t="shared" si="2"/>
        <v>0.313525</v>
      </c>
    </row>
    <row r="45" spans="1:9" x14ac:dyDescent="0.25">
      <c r="A45" t="s">
        <v>68</v>
      </c>
      <c r="B45" s="3" t="s">
        <v>61</v>
      </c>
      <c r="C45" s="5">
        <v>7.29</v>
      </c>
      <c r="D45" s="5">
        <f>C45*(1+VLOOKUP(E45,'Taxas Serviços'!A:B,2,FALSE))</f>
        <v>7.5087000000000002</v>
      </c>
      <c r="E45" t="s">
        <v>50</v>
      </c>
      <c r="F45" s="6">
        <f t="shared" si="0"/>
        <v>1.5422110351991689</v>
      </c>
      <c r="G45" s="5">
        <v>12</v>
      </c>
      <c r="H45" s="5">
        <f t="shared" si="1"/>
        <v>11.58</v>
      </c>
      <c r="I45" s="8">
        <f t="shared" si="2"/>
        <v>0.33927499999999999</v>
      </c>
    </row>
    <row r="46" spans="1:9" x14ac:dyDescent="0.25">
      <c r="A46" t="s">
        <v>68</v>
      </c>
      <c r="B46" s="3" t="s">
        <v>62</v>
      </c>
      <c r="C46" s="5">
        <v>7.29</v>
      </c>
      <c r="D46" s="5">
        <f>C46*(1+VLOOKUP(E46,'Taxas Serviços'!A:B,2,FALSE))</f>
        <v>7.5087000000000002</v>
      </c>
      <c r="E46" t="s">
        <v>43</v>
      </c>
      <c r="F46" s="6">
        <f t="shared" si="0"/>
        <v>1.5422110351991689</v>
      </c>
      <c r="G46" s="5">
        <v>12</v>
      </c>
      <c r="H46" s="5">
        <f t="shared" si="1"/>
        <v>11.58</v>
      </c>
      <c r="I46" s="8">
        <f t="shared" si="2"/>
        <v>0.33927499999999999</v>
      </c>
    </row>
    <row r="47" spans="1:9" x14ac:dyDescent="0.25">
      <c r="A47" t="s">
        <v>68</v>
      </c>
      <c r="B47" s="3" t="s">
        <v>26</v>
      </c>
      <c r="C47" s="5">
        <v>5.54</v>
      </c>
      <c r="D47" s="5">
        <f>C47*(1+VLOOKUP(E47,'Taxas Serviços'!A:B,2,FALSE))</f>
        <v>5.7061999999999999</v>
      </c>
      <c r="E47" t="s">
        <v>57</v>
      </c>
      <c r="F47" s="6">
        <f t="shared" si="0"/>
        <v>1.8602572640286006</v>
      </c>
      <c r="G47" s="5">
        <v>11</v>
      </c>
      <c r="H47" s="5">
        <f t="shared" si="1"/>
        <v>10.615</v>
      </c>
      <c r="I47" s="8">
        <f t="shared" si="2"/>
        <v>0.44625454545454546</v>
      </c>
    </row>
    <row r="48" spans="1:9" x14ac:dyDescent="0.25">
      <c r="A48" t="s">
        <v>68</v>
      </c>
      <c r="B48" s="3" t="s">
        <v>58</v>
      </c>
      <c r="C48" s="5">
        <v>3.79</v>
      </c>
      <c r="D48" s="5">
        <f>C48*(1+VLOOKUP(E48,'Taxas Serviços'!A:B,2,FALSE))</f>
        <v>4.1690000000000005</v>
      </c>
      <c r="E48" t="s">
        <v>31</v>
      </c>
      <c r="F48" s="6">
        <f t="shared" si="0"/>
        <v>2.7776445190693209</v>
      </c>
      <c r="G48" s="5">
        <v>12</v>
      </c>
      <c r="H48" s="5">
        <f t="shared" si="1"/>
        <v>11.58</v>
      </c>
      <c r="I48" s="8">
        <f t="shared" si="2"/>
        <v>0.61758333333333326</v>
      </c>
    </row>
    <row r="49" spans="1:10" x14ac:dyDescent="0.25">
      <c r="A49" t="s">
        <v>69</v>
      </c>
      <c r="B49" s="3" t="s">
        <v>27</v>
      </c>
      <c r="C49" s="5">
        <v>9.6</v>
      </c>
      <c r="D49" s="5">
        <f>C49*(1+VLOOKUP(E49,'Taxas Serviços'!A:B,2,FALSE))</f>
        <v>10.56</v>
      </c>
      <c r="E49" t="s">
        <v>31</v>
      </c>
      <c r="F49" s="6">
        <f t="shared" si="0"/>
        <v>1.8276515151515151</v>
      </c>
      <c r="G49" s="5">
        <v>20</v>
      </c>
      <c r="H49" s="5">
        <f t="shared" si="1"/>
        <v>19.3</v>
      </c>
      <c r="I49" s="8">
        <f t="shared" si="2"/>
        <v>0.437</v>
      </c>
    </row>
    <row r="50" spans="1:10" x14ac:dyDescent="0.25">
      <c r="A50" t="s">
        <v>69</v>
      </c>
      <c r="B50" s="3" t="s">
        <v>28</v>
      </c>
      <c r="C50">
        <v>29.52</v>
      </c>
      <c r="D50" s="5">
        <f>C50*(1+VLOOKUP(E50,'Taxas Serviços'!A:B,2,FALSE))</f>
        <v>30.4056</v>
      </c>
      <c r="E50" t="s">
        <v>43</v>
      </c>
      <c r="F50" s="6">
        <f t="shared" si="0"/>
        <v>1.9042544794379983</v>
      </c>
      <c r="G50" s="5">
        <v>60</v>
      </c>
      <c r="H50" s="5">
        <f t="shared" si="1"/>
        <v>57.9</v>
      </c>
      <c r="I50" s="8">
        <f t="shared" si="2"/>
        <v>0.45823999999999998</v>
      </c>
    </row>
    <row r="51" spans="1:10" x14ac:dyDescent="0.25">
      <c r="A51" t="s">
        <v>69</v>
      </c>
      <c r="B51" s="3" t="s">
        <v>29</v>
      </c>
      <c r="C51">
        <v>54.32</v>
      </c>
      <c r="D51" s="5">
        <f>C51*(1+VLOOKUP(E51,'Taxas Serviços'!A:B,2,FALSE))</f>
        <v>55.949600000000004</v>
      </c>
      <c r="E51" t="s">
        <v>43</v>
      </c>
      <c r="F51" s="6">
        <f t="shared" si="0"/>
        <v>1.89724323319559</v>
      </c>
      <c r="G51" s="5">
        <v>110</v>
      </c>
      <c r="H51" s="5">
        <f t="shared" si="1"/>
        <v>106.14999999999999</v>
      </c>
      <c r="I51" s="8">
        <f t="shared" si="2"/>
        <v>0.45636727272727262</v>
      </c>
    </row>
    <row r="52" spans="1:10" x14ac:dyDescent="0.25">
      <c r="A52" t="s">
        <v>64</v>
      </c>
      <c r="B52" s="13" t="s">
        <v>121</v>
      </c>
      <c r="C52" s="5">
        <v>4.45</v>
      </c>
      <c r="D52" s="5">
        <f>C52*(1+VLOOKUP(E52,'Taxas Serviços'!A:B,2,FALSE))</f>
        <v>4.8950000000000005</v>
      </c>
      <c r="E52" t="s">
        <v>31</v>
      </c>
      <c r="F52" s="6">
        <f t="shared" si="0"/>
        <v>1.9516853932584266</v>
      </c>
      <c r="G52" s="5">
        <v>9.9</v>
      </c>
      <c r="H52" s="5">
        <f t="shared" si="1"/>
        <v>9.5534999999999997</v>
      </c>
      <c r="I52" s="8">
        <f t="shared" si="2"/>
        <v>0.47055555555555545</v>
      </c>
    </row>
    <row r="53" spans="1:10" x14ac:dyDescent="0.25">
      <c r="A53" t="s">
        <v>64</v>
      </c>
      <c r="B53" s="13" t="s">
        <v>100</v>
      </c>
      <c r="C53" s="7">
        <v>5.3266666666666662</v>
      </c>
      <c r="D53" s="5">
        <f>C53*(1+VLOOKUP(E53,'Taxas Serviços'!A:B,2,FALSE))</f>
        <v>5.4864666666666659</v>
      </c>
      <c r="E53" t="s">
        <v>57</v>
      </c>
      <c r="F53" s="6">
        <f t="shared" si="0"/>
        <v>1.7412846154780857</v>
      </c>
      <c r="G53" s="5">
        <v>9.9</v>
      </c>
      <c r="H53" s="5">
        <f t="shared" si="1"/>
        <v>9.5534999999999997</v>
      </c>
      <c r="I53" s="8">
        <f t="shared" si="2"/>
        <v>0.41081144781144785</v>
      </c>
    </row>
    <row r="54" spans="1:10" x14ac:dyDescent="0.25">
      <c r="A54" t="s">
        <v>64</v>
      </c>
      <c r="B54" s="13" t="s">
        <v>101</v>
      </c>
      <c r="C54" s="7">
        <v>4.9266666666666659</v>
      </c>
      <c r="D54" s="5">
        <f>C54*(1+VLOOKUP(E54,'Taxas Serviços'!A:B,2,FALSE))</f>
        <v>5.074466666666666</v>
      </c>
      <c r="E54" t="s">
        <v>57</v>
      </c>
      <c r="F54" s="6">
        <f t="shared" si="0"/>
        <v>1.8826609036089181</v>
      </c>
      <c r="G54" s="5">
        <v>9.9</v>
      </c>
      <c r="H54" s="5">
        <f t="shared" si="1"/>
        <v>9.5534999999999997</v>
      </c>
      <c r="I54" s="8">
        <f t="shared" si="2"/>
        <v>0.45242760942760946</v>
      </c>
    </row>
    <row r="55" spans="1:10" x14ac:dyDescent="0.25">
      <c r="A55" t="s">
        <v>64</v>
      </c>
      <c r="B55" s="13" t="s">
        <v>123</v>
      </c>
      <c r="C55" s="5">
        <v>1.3</v>
      </c>
      <c r="D55" s="5">
        <f>C55*(1+VLOOKUP(E55,'Taxas Serviços'!A:B,2,FALSE))</f>
        <v>1.3</v>
      </c>
      <c r="E55" t="s">
        <v>102</v>
      </c>
      <c r="F55" s="6">
        <f t="shared" si="0"/>
        <v>2.9692307692307689</v>
      </c>
      <c r="G55" s="5">
        <v>4</v>
      </c>
      <c r="H55" s="5">
        <f t="shared" si="1"/>
        <v>3.86</v>
      </c>
      <c r="I55" s="8">
        <f t="shared" si="2"/>
        <v>0.6399999999999999</v>
      </c>
    </row>
    <row r="56" spans="1:10" x14ac:dyDescent="0.25">
      <c r="A56" t="s">
        <v>64</v>
      </c>
      <c r="B56" s="13" t="s">
        <v>103</v>
      </c>
      <c r="C56" s="5">
        <v>4.49</v>
      </c>
      <c r="D56" s="5">
        <f>C56*(1+VLOOKUP(E56,'Taxas Serviços'!A:B,2,FALSE))</f>
        <v>4.49</v>
      </c>
      <c r="E56" t="s">
        <v>102</v>
      </c>
      <c r="F56" s="6">
        <f t="shared" si="0"/>
        <v>2.1277282850779509</v>
      </c>
      <c r="G56" s="5">
        <v>9.9</v>
      </c>
      <c r="H56" s="5">
        <f t="shared" si="1"/>
        <v>9.5534999999999997</v>
      </c>
      <c r="I56" s="8">
        <f t="shared" si="2"/>
        <v>0.5114646464646464</v>
      </c>
    </row>
    <row r="57" spans="1:10" x14ac:dyDescent="0.25">
      <c r="A57" t="s">
        <v>64</v>
      </c>
      <c r="B57" s="13" t="s">
        <v>104</v>
      </c>
      <c r="C57" s="5">
        <v>1.99</v>
      </c>
      <c r="D57" s="5">
        <f>C57*(1+VLOOKUP(E57,'Taxas Serviços'!A:B,2,FALSE))</f>
        <v>1.99</v>
      </c>
      <c r="E57" t="s">
        <v>102</v>
      </c>
      <c r="F57" s="6">
        <f t="shared" si="0"/>
        <v>2.4246231155778895</v>
      </c>
      <c r="G57" s="5">
        <v>5</v>
      </c>
      <c r="H57" s="5">
        <f t="shared" si="1"/>
        <v>4.8250000000000002</v>
      </c>
      <c r="I57" s="8">
        <f t="shared" si="2"/>
        <v>0.56699999999999995</v>
      </c>
    </row>
    <row r="58" spans="1:10" x14ac:dyDescent="0.25">
      <c r="A58" t="s">
        <v>64</v>
      </c>
      <c r="B58" s="13" t="s">
        <v>122</v>
      </c>
      <c r="C58" s="5">
        <v>9.3266666666666662</v>
      </c>
      <c r="D58" s="5">
        <f>C58*(1+VLOOKUP(E58,'Taxas Serviços'!A:B,2,FALSE))</f>
        <v>9.606466666666666</v>
      </c>
      <c r="E58" t="s">
        <v>50</v>
      </c>
      <c r="F58" s="6">
        <f t="shared" si="0"/>
        <v>1.9086101723144828</v>
      </c>
      <c r="G58" s="5">
        <v>19</v>
      </c>
      <c r="H58" s="5">
        <f t="shared" si="1"/>
        <v>18.335000000000001</v>
      </c>
      <c r="I58" s="8">
        <f t="shared" si="2"/>
        <v>0.45939649122807025</v>
      </c>
    </row>
    <row r="59" spans="1:10" x14ac:dyDescent="0.25">
      <c r="A59" t="s">
        <v>66</v>
      </c>
      <c r="B59" s="3" t="s">
        <v>124</v>
      </c>
      <c r="C59" s="5">
        <v>4.47</v>
      </c>
      <c r="D59" s="5">
        <f>C59*(1+VLOOKUP(E59,'Taxas Serviços'!A:B,2,FALSE))</f>
        <v>4.6040999999999999</v>
      </c>
      <c r="E59" t="s">
        <v>50</v>
      </c>
      <c r="F59" s="6">
        <f t="shared" si="0"/>
        <v>1.6767663604178884</v>
      </c>
      <c r="G59" s="5">
        <v>8</v>
      </c>
      <c r="H59" s="5">
        <f t="shared" si="1"/>
        <v>7.72</v>
      </c>
      <c r="I59" s="8">
        <f t="shared" si="2"/>
        <v>0.38948749999999999</v>
      </c>
      <c r="J59" s="7"/>
    </row>
    <row r="60" spans="1:10" x14ac:dyDescent="0.25">
      <c r="A60" t="s">
        <v>66</v>
      </c>
      <c r="B60" s="3" t="s">
        <v>125</v>
      </c>
      <c r="C60" s="5">
        <v>3.28</v>
      </c>
      <c r="D60" s="5">
        <f>C60*(1+VLOOKUP(E60,'Taxas Serviços'!A:B,2,FALSE))</f>
        <v>3.3784000000000001</v>
      </c>
      <c r="E60" t="s">
        <v>50</v>
      </c>
      <c r="F60" s="6">
        <f t="shared" si="0"/>
        <v>2.2851053753255979</v>
      </c>
      <c r="G60" s="5">
        <v>8</v>
      </c>
      <c r="H60" s="5">
        <f t="shared" si="1"/>
        <v>7.72</v>
      </c>
      <c r="I60" s="8">
        <f t="shared" si="2"/>
        <v>0.54269999999999996</v>
      </c>
      <c r="J60" s="7"/>
    </row>
    <row r="61" spans="1:10" x14ac:dyDescent="0.25">
      <c r="A61" t="s">
        <v>66</v>
      </c>
      <c r="B61" s="3" t="s">
        <v>126</v>
      </c>
      <c r="C61" s="5">
        <v>4.24</v>
      </c>
      <c r="D61" s="5">
        <f>C61*(1+VLOOKUP(E61,'Taxas Serviços'!A:B,2,FALSE))</f>
        <v>4.3672000000000004</v>
      </c>
      <c r="E61" t="s">
        <v>50</v>
      </c>
      <c r="F61" s="6">
        <f t="shared" si="0"/>
        <v>1.7677230261952737</v>
      </c>
      <c r="G61" s="5">
        <v>8</v>
      </c>
      <c r="H61" s="5">
        <f t="shared" si="1"/>
        <v>7.72</v>
      </c>
      <c r="I61" s="8">
        <f t="shared" si="2"/>
        <v>0.41909999999999992</v>
      </c>
      <c r="J61" s="7"/>
    </row>
    <row r="62" spans="1:10" x14ac:dyDescent="0.25">
      <c r="A62" t="s">
        <v>66</v>
      </c>
      <c r="B62" s="3" t="s">
        <v>127</v>
      </c>
      <c r="C62" s="5">
        <v>4.1900000000000004</v>
      </c>
      <c r="D62" s="5">
        <f>C62*(1+VLOOKUP(E62,'Taxas Serviços'!A:B,2,FALSE))</f>
        <v>4.3157000000000005</v>
      </c>
      <c r="E62" t="s">
        <v>50</v>
      </c>
      <c r="F62" s="6">
        <f t="shared" si="0"/>
        <v>1.7888175730472458</v>
      </c>
      <c r="G62" s="5">
        <v>8</v>
      </c>
      <c r="H62" s="5">
        <f t="shared" si="1"/>
        <v>7.72</v>
      </c>
      <c r="I62" s="8">
        <f t="shared" si="2"/>
        <v>0.4255374999999999</v>
      </c>
      <c r="J62" s="7"/>
    </row>
  </sheetData>
  <autoFilter ref="A2:I62" xr:uid="{EC2E4C29-B347-4D7F-86EB-6769874956B4}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C5A95-CF76-49B2-977C-AA09ED50EBE3}">
  <sheetPr>
    <tabColor rgb="FF7030A0"/>
  </sheetPr>
  <dimension ref="A1:H2"/>
  <sheetViews>
    <sheetView showGridLines="0" workbookViewId="0">
      <selection activeCell="E4" sqref="E4"/>
    </sheetView>
  </sheetViews>
  <sheetFormatPr defaultRowHeight="15" x14ac:dyDescent="0.25"/>
  <cols>
    <col min="1" max="1" width="10" bestFit="1" customWidth="1"/>
    <col min="2" max="2" width="25.85546875" bestFit="1" customWidth="1"/>
    <col min="3" max="3" width="7.42578125" bestFit="1" customWidth="1"/>
    <col min="4" max="4" width="11.140625" bestFit="1" customWidth="1"/>
    <col min="5" max="5" width="6.42578125" bestFit="1" customWidth="1"/>
    <col min="6" max="6" width="10.7109375" bestFit="1" customWidth="1"/>
    <col min="7" max="7" width="4.28515625" bestFit="1" customWidth="1"/>
    <col min="8" max="8" width="14.85546875" bestFit="1" customWidth="1"/>
  </cols>
  <sheetData>
    <row r="1" spans="1:8" x14ac:dyDescent="0.25">
      <c r="A1" s="2" t="s">
        <v>63</v>
      </c>
      <c r="B1" s="2" t="s">
        <v>0</v>
      </c>
      <c r="C1" s="4" t="s">
        <v>6</v>
      </c>
      <c r="D1" s="2" t="s">
        <v>30</v>
      </c>
      <c r="E1" s="4" t="s">
        <v>44</v>
      </c>
      <c r="F1" s="2" t="s">
        <v>115</v>
      </c>
      <c r="G1" s="2" t="s">
        <v>98</v>
      </c>
      <c r="H1" s="4" t="s">
        <v>94</v>
      </c>
    </row>
    <row r="2" spans="1:8" x14ac:dyDescent="0.25">
      <c r="A2" t="s">
        <v>106</v>
      </c>
      <c r="B2" s="3" t="s">
        <v>108</v>
      </c>
      <c r="C2" s="5">
        <v>0.41499999999999998</v>
      </c>
      <c r="D2" t="s">
        <v>102</v>
      </c>
      <c r="E2" s="7">
        <f>C2*(1+VLOOKUP(D2,'Taxas Serviços'!A:B,2,FALSE))</f>
        <v>0.41499999999999998</v>
      </c>
      <c r="F2" s="15">
        <v>44551</v>
      </c>
      <c r="G2">
        <v>60</v>
      </c>
      <c r="H2" s="7">
        <f>G2*E2</f>
        <v>24.9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06198-D11D-4DB7-B678-AE2B1EBAFB50}">
  <dimension ref="A1:J17"/>
  <sheetViews>
    <sheetView showGridLines="0" workbookViewId="0">
      <selection activeCell="H2" sqref="H2:J2"/>
    </sheetView>
  </sheetViews>
  <sheetFormatPr defaultRowHeight="15" x14ac:dyDescent="0.25"/>
  <cols>
    <col min="1" max="1" width="38.7109375" bestFit="1" customWidth="1"/>
    <col min="2" max="2" width="7.42578125" style="5" bestFit="1" customWidth="1"/>
    <col min="3" max="3" width="7" style="5" bestFit="1" customWidth="1"/>
    <col min="4" max="4" width="11.140625" bestFit="1" customWidth="1"/>
    <col min="5" max="5" width="7.85546875" bestFit="1" customWidth="1"/>
    <col min="6" max="6" width="7.42578125" style="5" bestFit="1" customWidth="1"/>
    <col min="7" max="7" width="8.42578125" bestFit="1" customWidth="1"/>
    <col min="8" max="8" width="8.140625" bestFit="1" customWidth="1"/>
    <col min="9" max="9" width="14.85546875" style="5" bestFit="1" customWidth="1"/>
    <col min="10" max="10" width="13.42578125" style="5" bestFit="1" customWidth="1"/>
    <col min="11" max="11" width="9.5703125" bestFit="1" customWidth="1"/>
  </cols>
  <sheetData>
    <row r="1" spans="1:10" x14ac:dyDescent="0.25">
      <c r="E1" s="6">
        <f>AVERAGE(E3:E16)</f>
        <v>2.2048051530405179</v>
      </c>
      <c r="G1" s="9">
        <f>AVERAGE(G3:G16)</f>
        <v>0.53619464335441769</v>
      </c>
      <c r="H1" s="5">
        <f>SUM(H3:H17)</f>
        <v>88</v>
      </c>
      <c r="I1" s="5">
        <f>SUM(I3:I17)</f>
        <v>126</v>
      </c>
      <c r="J1" s="5">
        <f>SUM(J3:J17)</f>
        <v>320</v>
      </c>
    </row>
    <row r="2" spans="1:10" x14ac:dyDescent="0.25">
      <c r="A2" s="2" t="s">
        <v>0</v>
      </c>
      <c r="B2" s="4" t="s">
        <v>6</v>
      </c>
      <c r="C2" s="4" t="s">
        <v>44</v>
      </c>
      <c r="D2" s="2" t="s">
        <v>30</v>
      </c>
      <c r="E2" s="2" t="s">
        <v>7</v>
      </c>
      <c r="F2" s="4" t="s">
        <v>1</v>
      </c>
      <c r="G2" s="2" t="s">
        <v>42</v>
      </c>
      <c r="H2" s="2" t="s">
        <v>89</v>
      </c>
      <c r="I2" s="4" t="s">
        <v>94</v>
      </c>
      <c r="J2" s="4" t="s">
        <v>95</v>
      </c>
    </row>
    <row r="3" spans="1:10" x14ac:dyDescent="0.25">
      <c r="A3" t="s">
        <v>5</v>
      </c>
      <c r="B3" s="5">
        <v>9.25</v>
      </c>
      <c r="C3" s="5">
        <f>B3*(1+VLOOKUP(D3,'Taxas Serviços'!A:B,2,FALSE))</f>
        <v>10.175000000000001</v>
      </c>
      <c r="D3" t="s">
        <v>31</v>
      </c>
      <c r="E3" s="6">
        <f t="shared" ref="E3" si="0">F3/C3</f>
        <v>1.8673218673218672</v>
      </c>
      <c r="F3" s="5">
        <v>19</v>
      </c>
      <c r="G3" s="8">
        <f>(F3-C3)/F3</f>
        <v>0.46447368421052626</v>
      </c>
      <c r="H3" s="12">
        <v>0</v>
      </c>
      <c r="I3" s="12">
        <v>0</v>
      </c>
      <c r="J3" s="5">
        <f>H3*F3</f>
        <v>0</v>
      </c>
    </row>
    <row r="4" spans="1:10" x14ac:dyDescent="0.25">
      <c r="A4" t="s">
        <v>3</v>
      </c>
      <c r="B4" s="5">
        <v>2</v>
      </c>
      <c r="C4" s="5">
        <f>B4*(1+VLOOKUP(D4,'Taxas Serviços'!A:B,2,FALSE))</f>
        <v>2</v>
      </c>
      <c r="D4" t="s">
        <v>88</v>
      </c>
      <c r="E4" s="6">
        <f>F4/C4</f>
        <v>2.5</v>
      </c>
      <c r="F4" s="5">
        <v>5</v>
      </c>
      <c r="G4" s="8">
        <f t="shared" ref="G4:G16" si="1">(F4-C4)/F4</f>
        <v>0.6</v>
      </c>
      <c r="H4" s="12">
        <v>8</v>
      </c>
      <c r="I4" s="5">
        <f>H4*C4</f>
        <v>16</v>
      </c>
      <c r="J4" s="5">
        <f>H4*F4</f>
        <v>40</v>
      </c>
    </row>
    <row r="5" spans="1:10" x14ac:dyDescent="0.25">
      <c r="A5" t="s">
        <v>33</v>
      </c>
      <c r="B5" s="5">
        <v>4.9933333333333332</v>
      </c>
      <c r="C5" s="5">
        <f>B5*(1+VLOOKUP(D5,'Taxas Serviços'!A:B,2,FALSE))</f>
        <v>5.4926666666666666</v>
      </c>
      <c r="D5" t="s">
        <v>32</v>
      </c>
      <c r="E5" s="6">
        <f t="shared" ref="E5:E16" si="2">F5/C5</f>
        <v>1.8024032042723632</v>
      </c>
      <c r="F5" s="5">
        <v>9.9</v>
      </c>
      <c r="G5" s="8">
        <f t="shared" si="1"/>
        <v>0.44518518518518524</v>
      </c>
      <c r="H5" s="12">
        <v>0</v>
      </c>
      <c r="I5" s="12">
        <v>0</v>
      </c>
      <c r="J5" s="5">
        <f>H5*F5</f>
        <v>0</v>
      </c>
    </row>
    <row r="6" spans="1:10" x14ac:dyDescent="0.25">
      <c r="A6" t="s">
        <v>34</v>
      </c>
      <c r="B6" s="5">
        <v>4.9933333333333332</v>
      </c>
      <c r="C6" s="5">
        <f>B6*(1+VLOOKUP(D6,'Taxas Serviços'!A:B,2,FALSE))</f>
        <v>5.4926666666666666</v>
      </c>
      <c r="D6" t="s">
        <v>32</v>
      </c>
      <c r="E6" s="6">
        <f t="shared" si="2"/>
        <v>1.8024032042723632</v>
      </c>
      <c r="F6" s="5">
        <v>9.9</v>
      </c>
      <c r="G6" s="8">
        <f t="shared" si="1"/>
        <v>0.44518518518518524</v>
      </c>
      <c r="H6" s="12">
        <v>0</v>
      </c>
      <c r="I6" s="12">
        <v>0</v>
      </c>
      <c r="J6" s="5">
        <f>H6*F6</f>
        <v>0</v>
      </c>
    </row>
    <row r="7" spans="1:10" x14ac:dyDescent="0.25">
      <c r="A7" t="s">
        <v>35</v>
      </c>
      <c r="B7" s="5">
        <v>5.3266666666666662</v>
      </c>
      <c r="C7" s="5">
        <f>B7*(1+VLOOKUP(D7,'Taxas Serviços'!A:B,2,FALSE))</f>
        <v>5.8593333333333337</v>
      </c>
      <c r="D7" t="s">
        <v>32</v>
      </c>
      <c r="E7" s="6">
        <f t="shared" si="2"/>
        <v>2.0480145636591192</v>
      </c>
      <c r="F7" s="5">
        <v>12</v>
      </c>
      <c r="G7" s="8">
        <f t="shared" si="1"/>
        <v>0.51172222222222219</v>
      </c>
      <c r="H7" s="12">
        <v>0</v>
      </c>
      <c r="I7" s="12">
        <v>0</v>
      </c>
      <c r="J7" s="5">
        <f t="shared" ref="J7:J17" si="3">H7*F7</f>
        <v>0</v>
      </c>
    </row>
    <row r="8" spans="1:10" x14ac:dyDescent="0.25">
      <c r="A8" s="1" t="s">
        <v>36</v>
      </c>
      <c r="B8" s="5">
        <v>4.9933333333333332</v>
      </c>
      <c r="C8" s="5">
        <f>B8*(1+VLOOKUP(D8,'Taxas Serviços'!A:B,2,FALSE))</f>
        <v>5.4926666666666666</v>
      </c>
      <c r="D8" t="s">
        <v>32</v>
      </c>
      <c r="E8" s="6">
        <f t="shared" si="2"/>
        <v>1.8024032042723632</v>
      </c>
      <c r="F8" s="5">
        <v>9.9</v>
      </c>
      <c r="G8" s="8">
        <f t="shared" si="1"/>
        <v>0.44518518518518524</v>
      </c>
      <c r="H8" s="12">
        <v>0</v>
      </c>
      <c r="I8" s="12">
        <v>0</v>
      </c>
      <c r="J8" s="5">
        <f>H8*F8</f>
        <v>0</v>
      </c>
    </row>
    <row r="9" spans="1:10" x14ac:dyDescent="0.25">
      <c r="A9" t="s">
        <v>49</v>
      </c>
      <c r="B9" s="5">
        <v>4.9933333333333332</v>
      </c>
      <c r="C9" s="5">
        <f>B9*(1+VLOOKUP(D9,'Taxas Serviços'!A:B,2,FALSE))</f>
        <v>5.4926666666666666</v>
      </c>
      <c r="D9" t="s">
        <v>32</v>
      </c>
      <c r="E9" s="6">
        <f t="shared" si="2"/>
        <v>1.8024032042723632</v>
      </c>
      <c r="F9" s="5">
        <v>9.9</v>
      </c>
      <c r="G9" s="8">
        <f t="shared" si="1"/>
        <v>0.44518518518518524</v>
      </c>
      <c r="H9" s="12">
        <v>0</v>
      </c>
      <c r="I9" s="12">
        <v>0</v>
      </c>
      <c r="J9" s="5">
        <f t="shared" si="3"/>
        <v>0</v>
      </c>
    </row>
    <row r="10" spans="1:10" x14ac:dyDescent="0.25">
      <c r="A10" t="s">
        <v>37</v>
      </c>
      <c r="B10" s="5">
        <v>3.9866666666666668</v>
      </c>
      <c r="C10" s="5">
        <f>B10*(1+VLOOKUP(D10,'Taxas Serviços'!A:B,2,FALSE))</f>
        <v>4.3853333333333335</v>
      </c>
      <c r="D10" t="s">
        <v>32</v>
      </c>
      <c r="E10" s="6">
        <f t="shared" si="2"/>
        <v>2.2575250836120402</v>
      </c>
      <c r="F10" s="5">
        <v>9.9</v>
      </c>
      <c r="G10" s="8">
        <f t="shared" si="1"/>
        <v>0.557037037037037</v>
      </c>
      <c r="H10" s="12">
        <v>0</v>
      </c>
      <c r="I10" s="12">
        <v>0</v>
      </c>
      <c r="J10" s="5">
        <f t="shared" si="3"/>
        <v>0</v>
      </c>
    </row>
    <row r="11" spans="1:10" x14ac:dyDescent="0.25">
      <c r="A11" t="s">
        <v>4</v>
      </c>
      <c r="B11" s="5">
        <v>3.9866666666666668</v>
      </c>
      <c r="C11" s="5">
        <f>B11*(1+VLOOKUP(D11,'Taxas Serviços'!A:B,2,FALSE))</f>
        <v>4.3853333333333335</v>
      </c>
      <c r="D11" t="s">
        <v>32</v>
      </c>
      <c r="E11" s="6">
        <f t="shared" si="2"/>
        <v>2.2575250836120402</v>
      </c>
      <c r="F11" s="5">
        <v>9.9</v>
      </c>
      <c r="G11" s="8">
        <f t="shared" si="1"/>
        <v>0.557037037037037</v>
      </c>
      <c r="H11" s="12">
        <v>0</v>
      </c>
      <c r="I11" s="12">
        <v>0</v>
      </c>
      <c r="J11" s="5">
        <f t="shared" si="3"/>
        <v>0</v>
      </c>
    </row>
    <row r="12" spans="1:10" x14ac:dyDescent="0.25">
      <c r="A12" t="s">
        <v>2</v>
      </c>
      <c r="B12" s="5">
        <v>1.375</v>
      </c>
      <c r="C12" s="5">
        <f>B12*(1+VLOOKUP(D12,'Taxas Serviços'!A:B,2,FALSE))</f>
        <v>1.375</v>
      </c>
      <c r="D12" t="s">
        <v>88</v>
      </c>
      <c r="E12" s="6">
        <f t="shared" si="2"/>
        <v>2.5454545454545454</v>
      </c>
      <c r="F12" s="5">
        <v>3.5</v>
      </c>
      <c r="G12" s="8">
        <f t="shared" si="1"/>
        <v>0.6071428571428571</v>
      </c>
      <c r="H12" s="12">
        <v>20</v>
      </c>
      <c r="I12" s="5">
        <f>H12*C12</f>
        <v>27.5</v>
      </c>
      <c r="J12" s="5">
        <f t="shared" si="3"/>
        <v>70</v>
      </c>
    </row>
    <row r="13" spans="1:10" x14ac:dyDescent="0.25">
      <c r="A13" t="s">
        <v>38</v>
      </c>
      <c r="B13" s="5">
        <v>1.375</v>
      </c>
      <c r="C13" s="5">
        <f>B13*(1+VLOOKUP(D13,'Taxas Serviços'!A:B,2,FALSE))</f>
        <v>1.375</v>
      </c>
      <c r="D13" t="s">
        <v>88</v>
      </c>
      <c r="E13" s="6">
        <f t="shared" si="2"/>
        <v>2.5454545454545454</v>
      </c>
      <c r="F13" s="5">
        <v>3.5</v>
      </c>
      <c r="G13" s="8">
        <f t="shared" si="1"/>
        <v>0.6071428571428571</v>
      </c>
      <c r="H13" s="12">
        <v>20</v>
      </c>
      <c r="I13" s="5">
        <f>H13*C13</f>
        <v>27.5</v>
      </c>
      <c r="J13" s="5">
        <f t="shared" si="3"/>
        <v>70</v>
      </c>
    </row>
    <row r="14" spans="1:10" x14ac:dyDescent="0.25">
      <c r="A14" t="s">
        <v>39</v>
      </c>
      <c r="B14" s="5">
        <v>1.375</v>
      </c>
      <c r="C14" s="5">
        <f>B14*(1+VLOOKUP(D14,'Taxas Serviços'!A:B,2,FALSE))</f>
        <v>1.375</v>
      </c>
      <c r="D14" t="s">
        <v>88</v>
      </c>
      <c r="E14" s="6">
        <f t="shared" si="2"/>
        <v>2.5454545454545454</v>
      </c>
      <c r="F14" s="5">
        <v>3.5</v>
      </c>
      <c r="G14" s="8">
        <f t="shared" si="1"/>
        <v>0.6071428571428571</v>
      </c>
      <c r="H14" s="7">
        <v>0</v>
      </c>
      <c r="I14" s="7">
        <v>0</v>
      </c>
      <c r="J14" s="5">
        <f t="shared" si="3"/>
        <v>0</v>
      </c>
    </row>
    <row r="15" spans="1:10" x14ac:dyDescent="0.25">
      <c r="A15" t="s">
        <v>40</v>
      </c>
      <c r="B15" s="5">
        <v>1.375</v>
      </c>
      <c r="C15" s="5">
        <f>B15*(1+VLOOKUP(D15,'Taxas Serviços'!A:B,2,FALSE))</f>
        <v>1.375</v>
      </c>
      <c r="D15" t="s">
        <v>88</v>
      </c>
      <c r="E15" s="6">
        <f t="shared" si="2"/>
        <v>2.5454545454545454</v>
      </c>
      <c r="F15" s="5">
        <v>3.5</v>
      </c>
      <c r="G15" s="8">
        <f t="shared" si="1"/>
        <v>0.6071428571428571</v>
      </c>
      <c r="H15" s="12">
        <v>20</v>
      </c>
      <c r="I15" s="5">
        <f>H15*C15</f>
        <v>27.5</v>
      </c>
      <c r="J15" s="5">
        <f t="shared" si="3"/>
        <v>70</v>
      </c>
    </row>
    <row r="16" spans="1:10" x14ac:dyDescent="0.25">
      <c r="A16" t="s">
        <v>41</v>
      </c>
      <c r="B16" s="5">
        <v>1.375</v>
      </c>
      <c r="C16" s="5">
        <f>B16*(1+VLOOKUP(D16,'Taxas Serviços'!A:B,2,FALSE))</f>
        <v>1.375</v>
      </c>
      <c r="D16" t="s">
        <v>88</v>
      </c>
      <c r="E16" s="6">
        <f t="shared" si="2"/>
        <v>2.5454545454545454</v>
      </c>
      <c r="F16" s="5">
        <v>3.5</v>
      </c>
      <c r="G16" s="8">
        <f t="shared" si="1"/>
        <v>0.6071428571428571</v>
      </c>
      <c r="H16" s="7">
        <v>0</v>
      </c>
      <c r="I16" s="7">
        <v>0</v>
      </c>
      <c r="J16" s="5">
        <f t="shared" si="3"/>
        <v>0</v>
      </c>
    </row>
    <row r="17" spans="1:10" x14ac:dyDescent="0.25">
      <c r="A17" t="s">
        <v>87</v>
      </c>
      <c r="B17" s="5">
        <v>1.375</v>
      </c>
      <c r="C17" s="5">
        <f>B17*(1+VLOOKUP(D17,'Taxas Serviços'!A:B,2,FALSE))</f>
        <v>1.375</v>
      </c>
      <c r="D17" t="s">
        <v>88</v>
      </c>
      <c r="E17" s="6">
        <f t="shared" ref="E17" si="4">F17/C17</f>
        <v>2.5454545454545454</v>
      </c>
      <c r="F17" s="5">
        <v>3.5</v>
      </c>
      <c r="G17" s="8">
        <f t="shared" ref="G17" si="5">(F17-C17)/F17</f>
        <v>0.6071428571428571</v>
      </c>
      <c r="H17" s="12">
        <v>20</v>
      </c>
      <c r="I17" s="5">
        <f>H17*C17</f>
        <v>27.5</v>
      </c>
      <c r="J17" s="5">
        <f t="shared" si="3"/>
        <v>70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E4881-A09F-4061-9C9F-604F64D3BFCB}">
  <dimension ref="A1:J23"/>
  <sheetViews>
    <sheetView showGridLines="0" workbookViewId="0">
      <selection activeCell="A8" sqref="A8"/>
    </sheetView>
  </sheetViews>
  <sheetFormatPr defaultRowHeight="15" x14ac:dyDescent="0.25"/>
  <cols>
    <col min="1" max="1" width="33.5703125" bestFit="1" customWidth="1"/>
    <col min="2" max="2" width="6" bestFit="1" customWidth="1"/>
    <col min="3" max="3" width="11.85546875" bestFit="1" customWidth="1"/>
    <col min="4" max="4" width="11.140625" bestFit="1" customWidth="1"/>
    <col min="5" max="5" width="7.85546875" bestFit="1" customWidth="1"/>
    <col min="6" max="6" width="6" bestFit="1" customWidth="1"/>
    <col min="7" max="7" width="8.42578125" bestFit="1" customWidth="1"/>
    <col min="8" max="8" width="8.140625" bestFit="1" customWidth="1"/>
    <col min="9" max="9" width="14.85546875" bestFit="1" customWidth="1"/>
    <col min="10" max="10" width="13.42578125" bestFit="1" customWidth="1"/>
  </cols>
  <sheetData>
    <row r="1" spans="1:10" x14ac:dyDescent="0.25">
      <c r="E1" s="6">
        <f>AVERAGE(E3:E11)</f>
        <v>2.0852475545442166</v>
      </c>
      <c r="F1" s="5"/>
      <c r="G1" s="9">
        <f>AVERAGE(G3:G11)</f>
        <v>0.51871202279202278</v>
      </c>
      <c r="H1" s="5">
        <f>SUM(H3:H12)</f>
        <v>141</v>
      </c>
      <c r="I1" s="5">
        <f>SUM(I3:I12)</f>
        <v>459.92590000000001</v>
      </c>
      <c r="J1" s="5">
        <f>SUM(J3:J12)</f>
        <v>983.5</v>
      </c>
    </row>
    <row r="2" spans="1:10" x14ac:dyDescent="0.25">
      <c r="A2" s="2" t="s">
        <v>0</v>
      </c>
      <c r="B2" s="2" t="s">
        <v>6</v>
      </c>
      <c r="C2" s="2" t="s">
        <v>48</v>
      </c>
      <c r="D2" s="2" t="s">
        <v>30</v>
      </c>
      <c r="E2" s="2" t="s">
        <v>7</v>
      </c>
      <c r="F2" s="2" t="s">
        <v>1</v>
      </c>
      <c r="G2" s="14" t="s">
        <v>96</v>
      </c>
      <c r="H2" s="2" t="s">
        <v>89</v>
      </c>
      <c r="I2" s="4" t="s">
        <v>94</v>
      </c>
      <c r="J2" s="4" t="s">
        <v>95</v>
      </c>
    </row>
    <row r="3" spans="1:10" x14ac:dyDescent="0.25">
      <c r="A3" s="3" t="s">
        <v>8</v>
      </c>
      <c r="B3">
        <v>3.72</v>
      </c>
      <c r="C3" s="5">
        <f>B3*1.03</f>
        <v>3.8316000000000003</v>
      </c>
      <c r="D3" t="s">
        <v>52</v>
      </c>
      <c r="E3" s="5">
        <f>F3/C3</f>
        <v>1.9574068274350138</v>
      </c>
      <c r="F3" s="7">
        <v>7.5</v>
      </c>
      <c r="G3" s="8">
        <f>(F3-C3)/F3</f>
        <v>0.48911999999999994</v>
      </c>
      <c r="H3" s="12">
        <v>30</v>
      </c>
      <c r="I3" s="5">
        <f>H3*C3</f>
        <v>114.94800000000001</v>
      </c>
      <c r="J3" s="5">
        <f>H3*F3</f>
        <v>225</v>
      </c>
    </row>
    <row r="4" spans="1:10" x14ac:dyDescent="0.25">
      <c r="A4" t="s">
        <v>9</v>
      </c>
      <c r="B4">
        <f>VLOOKUP(A4,Pricing!B:C,2,FALSE)</f>
        <v>3.67</v>
      </c>
      <c r="C4" s="5">
        <f t="shared" ref="C4:C10" si="0">B4*1.03</f>
        <v>3.7801</v>
      </c>
      <c r="D4" t="str">
        <f>VLOOKUP($A$3,Pricing!B:E,4,FALSE)</f>
        <v>Big</v>
      </c>
      <c r="E4" s="5">
        <f t="shared" ref="E4:E10" si="1">F4/C4</f>
        <v>1.9840744953837199</v>
      </c>
      <c r="F4" s="7">
        <v>7.5</v>
      </c>
      <c r="G4" s="8">
        <f t="shared" ref="G4:G11" si="2">(F4-C4)/F4</f>
        <v>0.49598666666666669</v>
      </c>
      <c r="H4" s="12">
        <v>0</v>
      </c>
      <c r="I4" s="5">
        <f t="shared" ref="I4:I12" si="3">H4*C4</f>
        <v>0</v>
      </c>
      <c r="J4" s="5">
        <f t="shared" ref="J4:J12" si="4">H4*F4</f>
        <v>0</v>
      </c>
    </row>
    <row r="5" spans="1:10" x14ac:dyDescent="0.25">
      <c r="A5" t="s">
        <v>93</v>
      </c>
      <c r="B5">
        <v>3.39</v>
      </c>
      <c r="C5" s="5">
        <f t="shared" si="0"/>
        <v>3.4917000000000002</v>
      </c>
      <c r="D5" t="str">
        <f>VLOOKUP($A$3,Pricing!B:E,4,FALSE)</f>
        <v>Big</v>
      </c>
      <c r="E5" s="5">
        <f t="shared" si="1"/>
        <v>2.1479508548844399</v>
      </c>
      <c r="F5" s="7">
        <v>7.5</v>
      </c>
      <c r="G5" s="8">
        <f t="shared" si="2"/>
        <v>0.53444000000000003</v>
      </c>
      <c r="H5" s="12">
        <v>25</v>
      </c>
      <c r="I5" s="5">
        <f t="shared" si="3"/>
        <v>87.292500000000004</v>
      </c>
      <c r="J5" s="5">
        <f t="shared" si="4"/>
        <v>187.5</v>
      </c>
    </row>
    <row r="6" spans="1:10" x14ac:dyDescent="0.25">
      <c r="A6" t="s">
        <v>90</v>
      </c>
      <c r="B6">
        <v>3.15</v>
      </c>
      <c r="C6" s="5">
        <f t="shared" si="0"/>
        <v>3.2444999999999999</v>
      </c>
      <c r="D6" t="s">
        <v>52</v>
      </c>
      <c r="E6" s="5">
        <f t="shared" si="1"/>
        <v>2.3116042533518262</v>
      </c>
      <c r="F6" s="7">
        <v>7.5</v>
      </c>
      <c r="G6" s="8">
        <f t="shared" si="2"/>
        <v>0.5673999999999999</v>
      </c>
      <c r="H6" s="12">
        <v>30</v>
      </c>
      <c r="I6" s="5">
        <f t="shared" si="3"/>
        <v>97.334999999999994</v>
      </c>
      <c r="J6" s="5">
        <f t="shared" si="4"/>
        <v>225</v>
      </c>
    </row>
    <row r="7" spans="1:10" x14ac:dyDescent="0.25">
      <c r="A7" t="s">
        <v>91</v>
      </c>
      <c r="B7">
        <v>3.14</v>
      </c>
      <c r="C7" s="5">
        <f t="shared" si="0"/>
        <v>3.2342000000000004</v>
      </c>
      <c r="D7" t="s">
        <v>52</v>
      </c>
      <c r="E7" s="5">
        <f t="shared" si="1"/>
        <v>2.0097705769587533</v>
      </c>
      <c r="F7" s="7">
        <v>6.5</v>
      </c>
      <c r="G7" s="8">
        <f t="shared" si="2"/>
        <v>0.50243076923076913</v>
      </c>
      <c r="H7" s="12">
        <v>20</v>
      </c>
      <c r="I7" s="5">
        <f t="shared" si="3"/>
        <v>64.684000000000012</v>
      </c>
      <c r="J7" s="5">
        <f t="shared" si="4"/>
        <v>130</v>
      </c>
    </row>
    <row r="8" spans="1:10" x14ac:dyDescent="0.25">
      <c r="A8" t="s">
        <v>97</v>
      </c>
      <c r="B8" s="6">
        <v>2.8</v>
      </c>
      <c r="C8" s="5">
        <f t="shared" si="0"/>
        <v>2.8839999999999999</v>
      </c>
      <c r="D8" t="s">
        <v>52</v>
      </c>
      <c r="E8" s="5">
        <f t="shared" si="1"/>
        <v>2.2538141470180304</v>
      </c>
      <c r="F8" s="7">
        <v>6.5</v>
      </c>
      <c r="G8" s="8">
        <f t="shared" si="2"/>
        <v>0.55630769230769228</v>
      </c>
      <c r="H8" s="12">
        <v>0</v>
      </c>
      <c r="I8" s="5">
        <f t="shared" si="3"/>
        <v>0</v>
      </c>
      <c r="J8" s="5">
        <f t="shared" si="4"/>
        <v>0</v>
      </c>
    </row>
    <row r="9" spans="1:10" x14ac:dyDescent="0.25">
      <c r="A9" t="s">
        <v>46</v>
      </c>
      <c r="B9">
        <f>VLOOKUP(A9,Pricing!B:C,2,FALSE)</f>
        <v>2.95</v>
      </c>
      <c r="C9" s="5">
        <f t="shared" si="0"/>
        <v>3.0385000000000004</v>
      </c>
      <c r="D9" t="str">
        <f>VLOOKUP($A$3,Pricing!B:E,4,FALSE)</f>
        <v>Big</v>
      </c>
      <c r="E9" s="5">
        <f t="shared" ref="E9" si="5">F9/C9</f>
        <v>2.1392134276781305</v>
      </c>
      <c r="F9" s="7">
        <v>6.5</v>
      </c>
      <c r="G9" s="8">
        <f t="shared" si="2"/>
        <v>0.53253846153846152</v>
      </c>
      <c r="H9" s="12">
        <v>0</v>
      </c>
      <c r="I9" s="5">
        <f t="shared" si="3"/>
        <v>0</v>
      </c>
      <c r="J9" s="5">
        <f t="shared" si="4"/>
        <v>0</v>
      </c>
    </row>
    <row r="10" spans="1:10" x14ac:dyDescent="0.25">
      <c r="A10" t="s">
        <v>47</v>
      </c>
      <c r="B10">
        <f>VLOOKUP(A10,Pricing!B:C,2,FALSE)</f>
        <v>3.11</v>
      </c>
      <c r="C10" s="5">
        <f t="shared" si="0"/>
        <v>3.2033</v>
      </c>
      <c r="D10" t="str">
        <f>VLOOKUP($A$3,Pricing!B:E,4,FALSE)</f>
        <v>Big</v>
      </c>
      <c r="E10" s="5">
        <f t="shared" si="1"/>
        <v>2.0291574313988701</v>
      </c>
      <c r="F10" s="7">
        <v>6.5</v>
      </c>
      <c r="G10" s="8">
        <f t="shared" si="2"/>
        <v>0.50718461538461534</v>
      </c>
      <c r="H10" s="12">
        <v>0</v>
      </c>
      <c r="I10" s="5">
        <f t="shared" si="3"/>
        <v>0</v>
      </c>
      <c r="J10" s="5">
        <f t="shared" si="4"/>
        <v>0</v>
      </c>
    </row>
    <row r="11" spans="1:10" x14ac:dyDescent="0.25">
      <c r="A11" t="s">
        <v>45</v>
      </c>
      <c r="B11">
        <f>VLOOKUP(A11,Pricing!B:C,2,FALSE)</f>
        <v>3.29</v>
      </c>
      <c r="C11" s="5">
        <f>B11*1.1</f>
        <v>3.6190000000000002</v>
      </c>
      <c r="D11" t="s">
        <v>32</v>
      </c>
      <c r="E11" s="5">
        <f t="shared" ref="E11" si="6">F11/C11</f>
        <v>1.9342359767891681</v>
      </c>
      <c r="F11" s="7">
        <v>7</v>
      </c>
      <c r="G11" s="8">
        <f t="shared" si="2"/>
        <v>0.48299999999999998</v>
      </c>
      <c r="H11" s="12">
        <v>0</v>
      </c>
      <c r="I11" s="5">
        <f t="shared" si="3"/>
        <v>0</v>
      </c>
      <c r="J11" s="5">
        <f t="shared" si="4"/>
        <v>0</v>
      </c>
    </row>
    <row r="12" spans="1:10" x14ac:dyDescent="0.25">
      <c r="A12" s="13" t="s">
        <v>92</v>
      </c>
      <c r="B12">
        <f>VLOOKUP(A12,Pricing!B:C,2,FALSE)</f>
        <v>2.58</v>
      </c>
      <c r="C12" s="5">
        <f>B12*(1+VLOOKUP(D12,'Taxas Serviços'!A:B,2,FALSE))</f>
        <v>2.6574</v>
      </c>
      <c r="D12" t="s">
        <v>52</v>
      </c>
      <c r="E12" s="5">
        <f t="shared" ref="E12" si="7">F12/C12</f>
        <v>2.2578460149017836</v>
      </c>
      <c r="F12" s="5">
        <v>6</v>
      </c>
      <c r="G12" s="8">
        <f t="shared" ref="G12" si="8">(F12-C12)/F12</f>
        <v>0.55710000000000004</v>
      </c>
      <c r="H12" s="12">
        <v>36</v>
      </c>
      <c r="I12" s="5">
        <f t="shared" si="3"/>
        <v>95.666399999999996</v>
      </c>
      <c r="J12" s="5">
        <f t="shared" si="4"/>
        <v>216</v>
      </c>
    </row>
    <row r="13" spans="1:10" x14ac:dyDescent="0.25">
      <c r="H13" s="12"/>
      <c r="I13" s="5"/>
      <c r="J13" s="5"/>
    </row>
    <row r="14" spans="1:10" x14ac:dyDescent="0.25">
      <c r="H14" s="12"/>
      <c r="I14" s="7"/>
      <c r="J14" s="5"/>
    </row>
    <row r="15" spans="1:10" x14ac:dyDescent="0.25">
      <c r="H15" s="12"/>
      <c r="I15" s="5"/>
      <c r="J15" s="5"/>
    </row>
    <row r="16" spans="1:10" x14ac:dyDescent="0.25">
      <c r="H16" s="12"/>
      <c r="I16" s="7"/>
      <c r="J16" s="5"/>
    </row>
    <row r="17" spans="8:10" x14ac:dyDescent="0.25">
      <c r="H17" s="12"/>
      <c r="I17" s="5"/>
      <c r="J17" s="5"/>
    </row>
    <row r="20" spans="8:10" x14ac:dyDescent="0.25">
      <c r="I20" s="5"/>
    </row>
    <row r="23" spans="8:10" x14ac:dyDescent="0.25">
      <c r="I23" s="8"/>
    </row>
  </sheetData>
  <autoFilter ref="A2:J12" xr:uid="{2CFE4881-A09F-4061-9C9F-604F64D3BFCB}"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E954B-F9AC-4EAF-9173-D78F08A65097}">
  <dimension ref="A1:P24"/>
  <sheetViews>
    <sheetView showGridLines="0" workbookViewId="0">
      <selection activeCell="J23" sqref="J23"/>
    </sheetView>
  </sheetViews>
  <sheetFormatPr defaultRowHeight="15" x14ac:dyDescent="0.25"/>
  <cols>
    <col min="1" max="1" width="39" bestFit="1" customWidth="1"/>
    <col min="2" max="2" width="6" bestFit="1" customWidth="1"/>
    <col min="3" max="3" width="11.85546875" bestFit="1" customWidth="1"/>
    <col min="4" max="4" width="11.140625" bestFit="1" customWidth="1"/>
    <col min="5" max="5" width="7.85546875" bestFit="1" customWidth="1"/>
    <col min="6" max="6" width="7" bestFit="1" customWidth="1"/>
  </cols>
  <sheetData>
    <row r="1" spans="1:8" x14ac:dyDescent="0.25">
      <c r="E1" s="7">
        <f>AVERAGE(E3:E13)</f>
        <v>2.181944131138617</v>
      </c>
      <c r="G1" s="8">
        <f>AVERAGE(G3:G13)</f>
        <v>0.53516023809523816</v>
      </c>
    </row>
    <row r="2" spans="1:8" x14ac:dyDescent="0.25">
      <c r="A2" s="2" t="s">
        <v>0</v>
      </c>
      <c r="B2" s="2" t="s">
        <v>6</v>
      </c>
      <c r="C2" s="2" t="s">
        <v>48</v>
      </c>
      <c r="D2" s="2" t="s">
        <v>30</v>
      </c>
      <c r="E2" s="2" t="s">
        <v>7</v>
      </c>
      <c r="F2" s="2" t="s">
        <v>1</v>
      </c>
      <c r="G2" s="2" t="s">
        <v>42</v>
      </c>
    </row>
    <row r="3" spans="1:8" x14ac:dyDescent="0.25">
      <c r="A3" s="3" t="s">
        <v>10</v>
      </c>
      <c r="B3">
        <v>5.15</v>
      </c>
      <c r="C3" s="5">
        <f>B3*1.03</f>
        <v>5.3045000000000009</v>
      </c>
      <c r="D3" t="s">
        <v>43</v>
      </c>
      <c r="E3" s="7">
        <f t="shared" ref="E3:E13" si="0">F3/C3</f>
        <v>1.9794514091808839</v>
      </c>
      <c r="F3" s="5">
        <v>10.5</v>
      </c>
      <c r="G3" s="8">
        <f>(F3-C3)/F3</f>
        <v>0.4948095238095237</v>
      </c>
      <c r="H3" s="7"/>
    </row>
    <row r="4" spans="1:8" x14ac:dyDescent="0.25">
      <c r="A4" s="3" t="s">
        <v>11</v>
      </c>
      <c r="B4" s="6">
        <v>2.4108333333333332</v>
      </c>
      <c r="C4" s="5">
        <f>B4*1.03</f>
        <v>2.4831583333333334</v>
      </c>
      <c r="D4" t="s">
        <v>43</v>
      </c>
      <c r="E4" s="7">
        <f t="shared" si="0"/>
        <v>2.0135647142919466</v>
      </c>
      <c r="F4" s="5">
        <v>5</v>
      </c>
      <c r="G4" s="8">
        <f t="shared" ref="G4:G13" si="1">(F4-C4)/F4</f>
        <v>0.50336833333333331</v>
      </c>
    </row>
    <row r="5" spans="1:8" x14ac:dyDescent="0.25">
      <c r="A5" s="3" t="s">
        <v>12</v>
      </c>
      <c r="B5">
        <v>4.67</v>
      </c>
      <c r="C5" s="5">
        <f>B5*1.03</f>
        <v>4.8101000000000003</v>
      </c>
      <c r="D5" t="s">
        <v>50</v>
      </c>
      <c r="E5" s="7">
        <f t="shared" si="0"/>
        <v>2.1829068002744223</v>
      </c>
      <c r="F5" s="5">
        <v>10.5</v>
      </c>
      <c r="G5" s="8">
        <f t="shared" si="1"/>
        <v>0.5418952380952381</v>
      </c>
    </row>
    <row r="6" spans="1:8" x14ac:dyDescent="0.25">
      <c r="A6" s="3" t="s">
        <v>13</v>
      </c>
      <c r="B6">
        <v>2.0299999999999998</v>
      </c>
      <c r="C6" s="5">
        <f>B6*1.03</f>
        <v>2.0909</v>
      </c>
      <c r="D6" t="s">
        <v>50</v>
      </c>
      <c r="E6" s="7">
        <f t="shared" si="0"/>
        <v>2.3913147448467167</v>
      </c>
      <c r="F6" s="5">
        <v>5</v>
      </c>
      <c r="G6" s="8">
        <f t="shared" si="1"/>
        <v>0.58182</v>
      </c>
    </row>
    <row r="7" spans="1:8" x14ac:dyDescent="0.25">
      <c r="A7" s="3" t="s">
        <v>14</v>
      </c>
      <c r="B7">
        <v>5.59</v>
      </c>
      <c r="C7" s="5">
        <f>B7*1.03</f>
        <v>5.7576999999999998</v>
      </c>
      <c r="D7" t="s">
        <v>43</v>
      </c>
      <c r="E7" s="7">
        <f t="shared" si="0"/>
        <v>1.8236448581899023</v>
      </c>
      <c r="F7" s="5">
        <v>10.5</v>
      </c>
      <c r="G7" s="8">
        <f t="shared" si="1"/>
        <v>0.45164761904761908</v>
      </c>
    </row>
    <row r="8" spans="1:8" x14ac:dyDescent="0.25">
      <c r="A8" s="3" t="s">
        <v>15</v>
      </c>
      <c r="B8">
        <v>1.83</v>
      </c>
      <c r="C8" s="5">
        <f>B8*1.1</f>
        <v>2.0130000000000003</v>
      </c>
      <c r="D8" t="s">
        <v>31</v>
      </c>
      <c r="E8" s="7">
        <f t="shared" si="0"/>
        <v>2.4838549428713357</v>
      </c>
      <c r="F8" s="5">
        <v>5</v>
      </c>
      <c r="G8" s="8">
        <f t="shared" si="1"/>
        <v>0.59739999999999993</v>
      </c>
    </row>
    <row r="9" spans="1:8" x14ac:dyDescent="0.25">
      <c r="A9" s="3" t="s">
        <v>16</v>
      </c>
      <c r="B9">
        <v>4.09</v>
      </c>
      <c r="C9" s="5">
        <f>B9*1.1</f>
        <v>4.4990000000000006</v>
      </c>
      <c r="D9" t="s">
        <v>32</v>
      </c>
      <c r="E9" s="7">
        <f t="shared" si="0"/>
        <v>2.3338519671038007</v>
      </c>
      <c r="F9" s="5">
        <v>10.5</v>
      </c>
      <c r="G9" s="8">
        <f t="shared" si="1"/>
        <v>0.57152380952380943</v>
      </c>
    </row>
    <row r="10" spans="1:8" x14ac:dyDescent="0.25">
      <c r="A10" s="3" t="s">
        <v>17</v>
      </c>
      <c r="B10">
        <v>1.79</v>
      </c>
      <c r="C10" s="5">
        <f>B10*1.1</f>
        <v>1.9690000000000003</v>
      </c>
      <c r="D10" t="s">
        <v>32</v>
      </c>
      <c r="E10" s="7">
        <f t="shared" si="0"/>
        <v>2.5393600812595221</v>
      </c>
      <c r="F10" s="5">
        <v>5</v>
      </c>
      <c r="G10" s="8">
        <f t="shared" si="1"/>
        <v>0.60619999999999996</v>
      </c>
    </row>
    <row r="11" spans="1:8" x14ac:dyDescent="0.25">
      <c r="A11" s="3" t="s">
        <v>18</v>
      </c>
      <c r="B11">
        <v>5.69</v>
      </c>
      <c r="C11" s="5">
        <f>B11*1.03</f>
        <v>5.8607000000000005</v>
      </c>
      <c r="D11" t="s">
        <v>52</v>
      </c>
      <c r="E11" s="7">
        <f t="shared" si="0"/>
        <v>1.791594860682171</v>
      </c>
      <c r="F11" s="5">
        <v>10.5</v>
      </c>
      <c r="G11" s="8">
        <f t="shared" si="1"/>
        <v>0.4418380952380952</v>
      </c>
    </row>
    <row r="12" spans="1:8" x14ac:dyDescent="0.25">
      <c r="A12" s="3" t="s">
        <v>51</v>
      </c>
      <c r="B12">
        <v>2.39</v>
      </c>
      <c r="C12" s="5">
        <f>B12*1.03</f>
        <v>2.4617</v>
      </c>
      <c r="D12" t="s">
        <v>52</v>
      </c>
      <c r="E12" s="7">
        <f t="shared" si="0"/>
        <v>2.0311167079660399</v>
      </c>
      <c r="F12" s="5">
        <v>5</v>
      </c>
      <c r="G12" s="8">
        <f t="shared" si="1"/>
        <v>0.50766</v>
      </c>
    </row>
    <row r="13" spans="1:8" x14ac:dyDescent="0.25">
      <c r="A13" s="3" t="s">
        <v>19</v>
      </c>
      <c r="B13">
        <v>1.8700000000000003</v>
      </c>
      <c r="C13" s="5">
        <f>B13*1.1</f>
        <v>2.0570000000000004</v>
      </c>
      <c r="D13" t="s">
        <v>32</v>
      </c>
      <c r="E13" s="7">
        <f t="shared" si="0"/>
        <v>2.4307243558580454</v>
      </c>
      <c r="F13" s="5">
        <v>5</v>
      </c>
      <c r="G13" s="8">
        <f t="shared" si="1"/>
        <v>0.5885999999999999</v>
      </c>
    </row>
    <row r="20" spans="10:16" x14ac:dyDescent="0.25">
      <c r="J20" s="5">
        <f>SUM(N21:N22)</f>
        <v>443.5</v>
      </c>
    </row>
    <row r="21" spans="10:16" x14ac:dyDescent="0.25">
      <c r="J21" s="5">
        <v>110</v>
      </c>
      <c r="N21">
        <v>69.75</v>
      </c>
    </row>
    <row r="22" spans="10:16" x14ac:dyDescent="0.25">
      <c r="J22" s="7">
        <f>SUM(J20:J21)</f>
        <v>553.5</v>
      </c>
      <c r="N22">
        <v>373.75</v>
      </c>
    </row>
    <row r="23" spans="10:16" x14ac:dyDescent="0.25">
      <c r="O23">
        <v>11.21</v>
      </c>
      <c r="P23">
        <f>O23/N22</f>
        <v>2.9993311036789299E-2</v>
      </c>
    </row>
    <row r="24" spans="10:16" x14ac:dyDescent="0.25">
      <c r="N24">
        <f>J20*0.03</f>
        <v>13.305</v>
      </c>
    </row>
  </sheetData>
  <pageMargins left="0.511811024" right="0.511811024" top="0.78740157499999996" bottom="0.78740157499999996" header="0.31496062000000002" footer="0.31496062000000002"/>
  <ignoredErrors>
    <ignoredError sqref="C8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A1C81-373A-4B42-BA7F-7BE3E7F8E51E}">
  <dimension ref="A1:G13"/>
  <sheetViews>
    <sheetView showGridLines="0" workbookViewId="0">
      <selection activeCell="A3" sqref="A3:G6"/>
    </sheetView>
  </sheetViews>
  <sheetFormatPr defaultRowHeight="15" x14ac:dyDescent="0.25"/>
  <cols>
    <col min="1" max="1" width="39.7109375" bestFit="1" customWidth="1"/>
    <col min="2" max="2" width="6" bestFit="1" customWidth="1"/>
    <col min="3" max="3" width="13.42578125" style="5" bestFit="1" customWidth="1"/>
    <col min="4" max="4" width="11.140625" bestFit="1" customWidth="1"/>
    <col min="5" max="5" width="7.85546875" style="6" bestFit="1" customWidth="1"/>
    <col min="6" max="6" width="7" bestFit="1" customWidth="1"/>
    <col min="7" max="7" width="8.42578125" bestFit="1" customWidth="1"/>
    <col min="10" max="10" width="5" bestFit="1" customWidth="1"/>
  </cols>
  <sheetData>
    <row r="1" spans="1:7" x14ac:dyDescent="0.25">
      <c r="E1" s="7">
        <f>AVERAGE(E3:E13)</f>
        <v>2.210847374787313</v>
      </c>
      <c r="G1" s="8">
        <f>AVERAGE(G3:G13)</f>
        <v>0.53157222222222211</v>
      </c>
    </row>
    <row r="2" spans="1:7" x14ac:dyDescent="0.25">
      <c r="A2" s="2" t="s">
        <v>0</v>
      </c>
      <c r="B2" s="2" t="s">
        <v>6</v>
      </c>
      <c r="C2" s="4" t="s">
        <v>48</v>
      </c>
      <c r="D2" s="2" t="s">
        <v>30</v>
      </c>
      <c r="E2" s="10" t="s">
        <v>7</v>
      </c>
      <c r="F2" s="2" t="s">
        <v>1</v>
      </c>
      <c r="G2" s="2" t="s">
        <v>42</v>
      </c>
    </row>
    <row r="3" spans="1:7" x14ac:dyDescent="0.25">
      <c r="A3" s="3" t="s">
        <v>20</v>
      </c>
      <c r="B3">
        <v>5.99</v>
      </c>
      <c r="C3" s="5">
        <f>B3*1.1</f>
        <v>6.5890000000000004</v>
      </c>
      <c r="D3" t="s">
        <v>32</v>
      </c>
      <c r="E3" s="6">
        <f>F3/C3</f>
        <v>1.669449081803005</v>
      </c>
      <c r="F3" s="5">
        <v>11</v>
      </c>
      <c r="G3" s="8">
        <f>(F3-C3)/F3</f>
        <v>0.40099999999999997</v>
      </c>
    </row>
    <row r="4" spans="1:7" x14ac:dyDescent="0.25">
      <c r="A4" s="3" t="s">
        <v>21</v>
      </c>
      <c r="B4">
        <v>1.59</v>
      </c>
      <c r="C4" s="5">
        <f>B4*1.1</f>
        <v>1.7490000000000003</v>
      </c>
      <c r="D4" t="s">
        <v>32</v>
      </c>
      <c r="E4" s="6">
        <f>F4/C4</f>
        <v>2.5728987993138932</v>
      </c>
      <c r="F4" s="5">
        <v>4.5</v>
      </c>
      <c r="G4" s="8">
        <f>(F4-C4)/F4</f>
        <v>0.61133333333333317</v>
      </c>
    </row>
    <row r="5" spans="1:7" x14ac:dyDescent="0.25">
      <c r="A5" s="3" t="s">
        <v>22</v>
      </c>
      <c r="B5">
        <v>2.29</v>
      </c>
      <c r="C5" s="5">
        <f>B5*1.1</f>
        <v>2.5190000000000001</v>
      </c>
      <c r="D5" t="s">
        <v>31</v>
      </c>
      <c r="E5" s="6">
        <f>F5/C5</f>
        <v>1.984914648670107</v>
      </c>
      <c r="F5" s="5">
        <v>5</v>
      </c>
      <c r="G5" s="8">
        <f>(F5-C5)/F5</f>
        <v>0.49619999999999997</v>
      </c>
    </row>
    <row r="6" spans="1:7" x14ac:dyDescent="0.25">
      <c r="A6" s="3" t="s">
        <v>23</v>
      </c>
      <c r="B6">
        <v>1.67</v>
      </c>
      <c r="C6" s="5">
        <f>B6*1.03</f>
        <v>1.7201</v>
      </c>
      <c r="D6" t="s">
        <v>52</v>
      </c>
      <c r="E6" s="6">
        <f>F6/C6</f>
        <v>2.6161269693622464</v>
      </c>
      <c r="F6" s="5">
        <v>4.5</v>
      </c>
      <c r="G6" s="8">
        <f>(F6-C6)/F6</f>
        <v>0.61775555555555561</v>
      </c>
    </row>
    <row r="7" spans="1:7" x14ac:dyDescent="0.25">
      <c r="A7" s="3"/>
    </row>
    <row r="8" spans="1:7" x14ac:dyDescent="0.25">
      <c r="A8" s="3"/>
    </row>
    <row r="9" spans="1:7" x14ac:dyDescent="0.25">
      <c r="A9" s="3"/>
    </row>
    <row r="10" spans="1:7" x14ac:dyDescent="0.25">
      <c r="A10" s="3"/>
    </row>
    <row r="11" spans="1:7" x14ac:dyDescent="0.25">
      <c r="A11" s="3"/>
    </row>
    <row r="12" spans="1:7" x14ac:dyDescent="0.25">
      <c r="A12" s="3"/>
    </row>
    <row r="13" spans="1:7" x14ac:dyDescent="0.25">
      <c r="A13" s="3"/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D0749-301A-4C05-81C7-C76909A49123}">
  <dimension ref="A1:H11"/>
  <sheetViews>
    <sheetView showGridLines="0" workbookViewId="0">
      <selection activeCell="E8" sqref="E8:G8"/>
    </sheetView>
  </sheetViews>
  <sheetFormatPr defaultRowHeight="15" x14ac:dyDescent="0.25"/>
  <cols>
    <col min="1" max="1" width="43.7109375" bestFit="1" customWidth="1"/>
    <col min="2" max="2" width="6" bestFit="1" customWidth="1"/>
    <col min="3" max="3" width="13.42578125" bestFit="1" customWidth="1"/>
    <col min="4" max="4" width="11.140625" bestFit="1" customWidth="1"/>
    <col min="5" max="5" width="7.85546875" bestFit="1" customWidth="1"/>
    <col min="6" max="6" width="7" bestFit="1" customWidth="1"/>
    <col min="7" max="7" width="8.42578125" bestFit="1" customWidth="1"/>
    <col min="10" max="10" width="4" bestFit="1" customWidth="1"/>
  </cols>
  <sheetData>
    <row r="1" spans="1:8" x14ac:dyDescent="0.25">
      <c r="E1" s="7">
        <f>AVERAGE(E3:E11)</f>
        <v>2.1137669188768529</v>
      </c>
      <c r="G1" s="8">
        <f>AVERAGE(G3:G11)</f>
        <v>0.50870909090909089</v>
      </c>
    </row>
    <row r="2" spans="1:8" x14ac:dyDescent="0.25">
      <c r="A2" s="2" t="s">
        <v>0</v>
      </c>
      <c r="B2" s="2" t="s">
        <v>6</v>
      </c>
      <c r="C2" s="4" t="s">
        <v>48</v>
      </c>
      <c r="D2" s="2" t="s">
        <v>30</v>
      </c>
      <c r="E2" s="2" t="s">
        <v>7</v>
      </c>
      <c r="F2" s="2" t="s">
        <v>1</v>
      </c>
      <c r="G2" s="2" t="s">
        <v>42</v>
      </c>
    </row>
    <row r="3" spans="1:8" x14ac:dyDescent="0.25">
      <c r="A3" s="3" t="s">
        <v>53</v>
      </c>
      <c r="B3" s="5">
        <v>6.3</v>
      </c>
      <c r="C3" s="5">
        <f>B3*1.1</f>
        <v>6.9300000000000006</v>
      </c>
      <c r="D3" t="s">
        <v>31</v>
      </c>
      <c r="E3" s="5">
        <f t="shared" ref="E3:E8" si="0">F3/C3</f>
        <v>1.7316017316017314</v>
      </c>
      <c r="F3" s="5">
        <v>12</v>
      </c>
      <c r="G3" s="8">
        <f t="shared" ref="G3:G8" si="1">(F3-C3)/F3</f>
        <v>0.42249999999999993</v>
      </c>
    </row>
    <row r="4" spans="1:8" x14ac:dyDescent="0.25">
      <c r="A4" s="3" t="s">
        <v>54</v>
      </c>
      <c r="B4" s="5">
        <v>1.02</v>
      </c>
      <c r="C4" s="5">
        <f>B4*1.1</f>
        <v>1.1220000000000001</v>
      </c>
      <c r="D4" t="s">
        <v>32</v>
      </c>
      <c r="E4" s="5">
        <f t="shared" si="0"/>
        <v>2.6737967914438499</v>
      </c>
      <c r="F4" s="5">
        <v>3</v>
      </c>
      <c r="G4" s="8">
        <f t="shared" si="1"/>
        <v>0.626</v>
      </c>
    </row>
    <row r="5" spans="1:8" x14ac:dyDescent="0.25">
      <c r="A5" s="1" t="s">
        <v>24</v>
      </c>
      <c r="B5" s="5">
        <v>6.3</v>
      </c>
      <c r="C5" s="5">
        <f>B5*1.1</f>
        <v>6.9300000000000006</v>
      </c>
      <c r="D5" t="s">
        <v>31</v>
      </c>
      <c r="E5" s="5">
        <f t="shared" si="0"/>
        <v>1.7316017316017314</v>
      </c>
      <c r="F5" s="5">
        <v>12</v>
      </c>
      <c r="G5" s="8">
        <f t="shared" si="1"/>
        <v>0.42249999999999993</v>
      </c>
    </row>
    <row r="6" spans="1:8" x14ac:dyDescent="0.25">
      <c r="A6" s="3" t="s">
        <v>55</v>
      </c>
      <c r="B6" s="5">
        <v>1.02</v>
      </c>
      <c r="C6" s="5">
        <f>B6*1.1</f>
        <v>1.1220000000000001</v>
      </c>
      <c r="D6" t="s">
        <v>32</v>
      </c>
      <c r="E6" s="5">
        <f t="shared" si="0"/>
        <v>2.6737967914438499</v>
      </c>
      <c r="F6" s="5">
        <v>3</v>
      </c>
      <c r="G6" s="8">
        <f t="shared" si="1"/>
        <v>0.626</v>
      </c>
      <c r="H6" s="7"/>
    </row>
    <row r="7" spans="1:8" x14ac:dyDescent="0.25">
      <c r="A7" s="3" t="s">
        <v>25</v>
      </c>
      <c r="B7" s="5">
        <v>6.3</v>
      </c>
      <c r="C7" s="5">
        <f>B7*1.1</f>
        <v>6.9300000000000006</v>
      </c>
      <c r="D7" t="s">
        <v>31</v>
      </c>
      <c r="E7" s="5">
        <f t="shared" si="0"/>
        <v>1.7316017316017314</v>
      </c>
      <c r="F7" s="5">
        <v>12</v>
      </c>
      <c r="G7" s="8">
        <f t="shared" si="1"/>
        <v>0.42249999999999993</v>
      </c>
    </row>
    <row r="8" spans="1:8" x14ac:dyDescent="0.25">
      <c r="A8" s="3" t="s">
        <v>56</v>
      </c>
      <c r="B8" s="5">
        <v>4.99</v>
      </c>
      <c r="C8" s="7">
        <f>B8*1.03</f>
        <v>5.1397000000000004</v>
      </c>
      <c r="D8" t="s">
        <v>57</v>
      </c>
      <c r="E8" s="5">
        <f t="shared" si="0"/>
        <v>2.1402027355682236</v>
      </c>
      <c r="F8" s="5">
        <v>11</v>
      </c>
      <c r="G8" s="8">
        <f t="shared" si="1"/>
        <v>0.53275454545454537</v>
      </c>
    </row>
    <row r="9" spans="1:8" x14ac:dyDescent="0.25">
      <c r="A9" s="3"/>
    </row>
    <row r="10" spans="1:8" x14ac:dyDescent="0.25">
      <c r="A10" s="3"/>
    </row>
    <row r="11" spans="1:8" x14ac:dyDescent="0.25">
      <c r="A11" s="3"/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C3477-A575-4F83-B52F-C4221A3C612A}">
  <dimension ref="A1:G13"/>
  <sheetViews>
    <sheetView showGridLines="0" workbookViewId="0">
      <selection activeCell="A3" sqref="A3:G8"/>
    </sheetView>
  </sheetViews>
  <sheetFormatPr defaultRowHeight="15" x14ac:dyDescent="0.25"/>
  <cols>
    <col min="1" max="1" width="40.5703125" bestFit="1" customWidth="1"/>
    <col min="2" max="2" width="6" bestFit="1" customWidth="1"/>
    <col min="3" max="3" width="13.42578125" bestFit="1" customWidth="1"/>
    <col min="4" max="4" width="11.140625" bestFit="1" customWidth="1"/>
    <col min="5" max="5" width="7.85546875" bestFit="1" customWidth="1"/>
    <col min="6" max="6" width="7" bestFit="1" customWidth="1"/>
    <col min="7" max="7" width="8.42578125" bestFit="1" customWidth="1"/>
  </cols>
  <sheetData>
    <row r="1" spans="1:7" x14ac:dyDescent="0.25">
      <c r="E1" s="7">
        <f>AVERAGE(E3:E11)</f>
        <v>1.9130688143016965</v>
      </c>
      <c r="G1" s="8">
        <f>AVERAGE(G3:G11)</f>
        <v>0.45203055555555549</v>
      </c>
    </row>
    <row r="2" spans="1:7" x14ac:dyDescent="0.25">
      <c r="A2" s="2" t="s">
        <v>0</v>
      </c>
      <c r="B2" s="2" t="s">
        <v>6</v>
      </c>
      <c r="C2" s="4" t="s">
        <v>48</v>
      </c>
      <c r="D2" s="2" t="s">
        <v>30</v>
      </c>
      <c r="E2" s="2" t="s">
        <v>7</v>
      </c>
      <c r="F2" s="2" t="s">
        <v>1</v>
      </c>
      <c r="G2" s="2" t="s">
        <v>42</v>
      </c>
    </row>
    <row r="3" spans="1:7" x14ac:dyDescent="0.25">
      <c r="A3" s="3" t="s">
        <v>59</v>
      </c>
      <c r="B3" s="5">
        <v>5.99</v>
      </c>
      <c r="C3" s="5">
        <f>B3*1.1</f>
        <v>6.5890000000000004</v>
      </c>
      <c r="D3" t="s">
        <v>32</v>
      </c>
      <c r="E3" s="5">
        <f t="shared" ref="E3:E6" si="0">F3/C3</f>
        <v>1.8212171801487327</v>
      </c>
      <c r="F3" s="5">
        <v>12</v>
      </c>
      <c r="G3" s="8">
        <f t="shared" ref="G3:G6" si="1">(F3-C3)/F3</f>
        <v>0.45091666666666663</v>
      </c>
    </row>
    <row r="4" spans="1:7" x14ac:dyDescent="0.25">
      <c r="A4" s="3" t="s">
        <v>60</v>
      </c>
      <c r="B4" s="5">
        <v>7.59</v>
      </c>
      <c r="C4" s="5">
        <f>B4*1.03</f>
        <v>7.8177000000000003</v>
      </c>
      <c r="D4" t="s">
        <v>52</v>
      </c>
      <c r="E4" s="5">
        <f t="shared" si="0"/>
        <v>1.534978318431252</v>
      </c>
      <c r="F4" s="5">
        <v>12</v>
      </c>
      <c r="G4" s="8">
        <f t="shared" si="1"/>
        <v>0.34852499999999997</v>
      </c>
    </row>
    <row r="5" spans="1:7" x14ac:dyDescent="0.25">
      <c r="A5" s="3" t="s">
        <v>61</v>
      </c>
      <c r="B5" s="5">
        <v>7.29</v>
      </c>
      <c r="C5" s="5">
        <f>B5*1.03</f>
        <v>7.5087000000000002</v>
      </c>
      <c r="D5" t="s">
        <v>50</v>
      </c>
      <c r="E5" s="5">
        <f t="shared" si="0"/>
        <v>1.5981461504654599</v>
      </c>
      <c r="F5" s="5">
        <v>12</v>
      </c>
      <c r="G5" s="8">
        <f t="shared" si="1"/>
        <v>0.37427499999999997</v>
      </c>
    </row>
    <row r="6" spans="1:7" x14ac:dyDescent="0.25">
      <c r="A6" s="3" t="s">
        <v>62</v>
      </c>
      <c r="B6" s="5">
        <v>7.29</v>
      </c>
      <c r="C6" s="5">
        <f>B6*1.03</f>
        <v>7.5087000000000002</v>
      </c>
      <c r="D6" t="s">
        <v>43</v>
      </c>
      <c r="E6" s="5">
        <f t="shared" si="0"/>
        <v>1.5981461504654599</v>
      </c>
      <c r="F6" s="5">
        <v>12</v>
      </c>
      <c r="G6" s="8">
        <f t="shared" si="1"/>
        <v>0.37427499999999997</v>
      </c>
    </row>
    <row r="7" spans="1:7" x14ac:dyDescent="0.25">
      <c r="A7" s="3" t="s">
        <v>26</v>
      </c>
      <c r="B7" s="5">
        <v>5.69</v>
      </c>
      <c r="C7" s="5">
        <f>B7*1.03</f>
        <v>5.8607000000000005</v>
      </c>
      <c r="D7" t="s">
        <v>57</v>
      </c>
      <c r="E7" s="5">
        <f>F7/C7</f>
        <v>2.0475369836367667</v>
      </c>
      <c r="F7" s="5">
        <v>12</v>
      </c>
      <c r="G7" s="8">
        <f>(F7-C7)/F7</f>
        <v>0.51160833333333333</v>
      </c>
    </row>
    <row r="8" spans="1:7" x14ac:dyDescent="0.25">
      <c r="A8" s="3" t="s">
        <v>58</v>
      </c>
      <c r="B8" s="5">
        <v>3.79</v>
      </c>
      <c r="C8" s="5">
        <f>B8*1.1</f>
        <v>4.1690000000000005</v>
      </c>
      <c r="D8" t="s">
        <v>31</v>
      </c>
      <c r="E8" s="5">
        <f>F8/C8</f>
        <v>2.8783881026625084</v>
      </c>
      <c r="F8" s="5">
        <v>12</v>
      </c>
      <c r="G8" s="8">
        <f>(F8-C8)/F8</f>
        <v>0.65258333333333329</v>
      </c>
    </row>
    <row r="9" spans="1:7" x14ac:dyDescent="0.25">
      <c r="A9" s="3"/>
    </row>
    <row r="10" spans="1:7" x14ac:dyDescent="0.25">
      <c r="A10" s="3"/>
    </row>
    <row r="11" spans="1:7" x14ac:dyDescent="0.25">
      <c r="A11" s="3"/>
    </row>
    <row r="12" spans="1:7" x14ac:dyDescent="0.25">
      <c r="A12" s="3"/>
    </row>
    <row r="13" spans="1:7" x14ac:dyDescent="0.25">
      <c r="A13" s="3"/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E96DB-EF04-4298-B2D2-72D1F4EAFA22}">
  <dimension ref="A1:G13"/>
  <sheetViews>
    <sheetView showGridLines="0" workbookViewId="0">
      <selection activeCell="A3" sqref="A3:G5"/>
    </sheetView>
  </sheetViews>
  <sheetFormatPr defaultRowHeight="15" x14ac:dyDescent="0.25"/>
  <cols>
    <col min="1" max="1" width="32.42578125" bestFit="1" customWidth="1"/>
    <col min="2" max="2" width="6" bestFit="1" customWidth="1"/>
    <col min="3" max="3" width="13.42578125" bestFit="1" customWidth="1"/>
    <col min="4" max="4" width="11.140625" bestFit="1" customWidth="1"/>
    <col min="5" max="5" width="7.85546875" bestFit="1" customWidth="1"/>
    <col min="6" max="6" width="8" bestFit="1" customWidth="1"/>
    <col min="7" max="7" width="8.42578125" bestFit="1" customWidth="1"/>
    <col min="8" max="9" width="6" bestFit="1" customWidth="1"/>
  </cols>
  <sheetData>
    <row r="1" spans="1:7" x14ac:dyDescent="0.25">
      <c r="E1" s="7">
        <f>AVERAGE(E3:E11)</f>
        <v>1.9444384206511585</v>
      </c>
      <c r="G1" s="8">
        <f>AVERAGE(G3:G11)</f>
        <v>0.48553575757575756</v>
      </c>
    </row>
    <row r="2" spans="1:7" x14ac:dyDescent="0.25">
      <c r="A2" s="2" t="s">
        <v>0</v>
      </c>
      <c r="B2" s="2" t="s">
        <v>6</v>
      </c>
      <c r="C2" s="4" t="s">
        <v>48</v>
      </c>
      <c r="D2" s="2" t="s">
        <v>30</v>
      </c>
      <c r="E2" s="2" t="s">
        <v>7</v>
      </c>
      <c r="F2" s="2" t="s">
        <v>1</v>
      </c>
      <c r="G2" s="2" t="s">
        <v>42</v>
      </c>
    </row>
    <row r="3" spans="1:7" s="5" customFormat="1" x14ac:dyDescent="0.25">
      <c r="A3" s="3" t="s">
        <v>27</v>
      </c>
      <c r="B3" s="5">
        <v>9.6</v>
      </c>
      <c r="C3" s="5">
        <f>B3*1.1</f>
        <v>10.56</v>
      </c>
      <c r="D3" s="5" t="s">
        <v>31</v>
      </c>
      <c r="E3" s="5">
        <f t="shared" ref="E3:E5" si="0">F3/C3</f>
        <v>1.8939393939393938</v>
      </c>
      <c r="F3" s="5">
        <v>20</v>
      </c>
      <c r="G3" s="8">
        <f t="shared" ref="G3:G5" si="1">(F3-C3)/F3</f>
        <v>0.47199999999999998</v>
      </c>
    </row>
    <row r="4" spans="1:7" x14ac:dyDescent="0.25">
      <c r="A4" s="3" t="s">
        <v>28</v>
      </c>
      <c r="B4">
        <v>29.52</v>
      </c>
      <c r="C4" s="5">
        <f>B4*1.03</f>
        <v>30.4056</v>
      </c>
      <c r="D4" t="s">
        <v>43</v>
      </c>
      <c r="E4" s="5">
        <f t="shared" si="0"/>
        <v>1.9733207040808272</v>
      </c>
      <c r="F4" s="5">
        <v>60</v>
      </c>
      <c r="G4" s="8">
        <f t="shared" si="1"/>
        <v>0.49324000000000001</v>
      </c>
    </row>
    <row r="5" spans="1:7" x14ac:dyDescent="0.25">
      <c r="A5" s="3" t="s">
        <v>29</v>
      </c>
      <c r="B5">
        <v>54.32</v>
      </c>
      <c r="C5" s="5">
        <f>B5*1.03</f>
        <v>55.949600000000004</v>
      </c>
      <c r="D5" t="s">
        <v>43</v>
      </c>
      <c r="E5" s="5">
        <f t="shared" si="0"/>
        <v>1.9660551639332542</v>
      </c>
      <c r="F5" s="5">
        <v>110</v>
      </c>
      <c r="G5" s="8">
        <f t="shared" si="1"/>
        <v>0.49136727272727271</v>
      </c>
    </row>
    <row r="6" spans="1:7" x14ac:dyDescent="0.25">
      <c r="A6" s="3"/>
    </row>
    <row r="7" spans="1:7" x14ac:dyDescent="0.25">
      <c r="A7" s="3"/>
    </row>
    <row r="8" spans="1:7" x14ac:dyDescent="0.25">
      <c r="A8" s="3"/>
    </row>
    <row r="9" spans="1:7" x14ac:dyDescent="0.25">
      <c r="A9" s="3"/>
    </row>
    <row r="10" spans="1:7" x14ac:dyDescent="0.25">
      <c r="A10" s="3"/>
    </row>
    <row r="11" spans="1:7" x14ac:dyDescent="0.25">
      <c r="A11" s="3"/>
    </row>
    <row r="12" spans="1:7" x14ac:dyDescent="0.25">
      <c r="A12" s="3"/>
    </row>
    <row r="13" spans="1:7" x14ac:dyDescent="0.25">
      <c r="A13" s="3"/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0663C-0504-489F-960C-841BFEA253CF}">
  <dimension ref="A1:B9"/>
  <sheetViews>
    <sheetView showGridLines="0" workbookViewId="0">
      <selection activeCell="A10" sqref="A10"/>
    </sheetView>
  </sheetViews>
  <sheetFormatPr defaultRowHeight="15" x14ac:dyDescent="0.25"/>
  <cols>
    <col min="1" max="1" width="11.140625" bestFit="1" customWidth="1"/>
    <col min="2" max="2" width="5" bestFit="1" customWidth="1"/>
  </cols>
  <sheetData>
    <row r="1" spans="1:2" x14ac:dyDescent="0.25">
      <c r="A1" s="2" t="s">
        <v>30</v>
      </c>
      <c r="B1" s="2" t="s">
        <v>44</v>
      </c>
    </row>
    <row r="2" spans="1:2" x14ac:dyDescent="0.25">
      <c r="A2" t="s">
        <v>31</v>
      </c>
      <c r="B2" s="11">
        <v>0.1</v>
      </c>
    </row>
    <row r="3" spans="1:2" x14ac:dyDescent="0.25">
      <c r="A3" t="s">
        <v>32</v>
      </c>
      <c r="B3" s="11">
        <v>0.1</v>
      </c>
    </row>
    <row r="4" spans="1:2" x14ac:dyDescent="0.25">
      <c r="A4" t="s">
        <v>43</v>
      </c>
      <c r="B4" s="11">
        <v>0.03</v>
      </c>
    </row>
    <row r="5" spans="1:2" x14ac:dyDescent="0.25">
      <c r="A5" t="s">
        <v>50</v>
      </c>
      <c r="B5" s="11">
        <v>0.03</v>
      </c>
    </row>
    <row r="6" spans="1:2" x14ac:dyDescent="0.25">
      <c r="A6" t="s">
        <v>52</v>
      </c>
      <c r="B6" s="11">
        <v>0.03</v>
      </c>
    </row>
    <row r="7" spans="1:2" x14ac:dyDescent="0.25">
      <c r="A7" t="s">
        <v>57</v>
      </c>
      <c r="B7" s="11">
        <v>0.03</v>
      </c>
    </row>
    <row r="8" spans="1:2" x14ac:dyDescent="0.25">
      <c r="A8" t="s">
        <v>88</v>
      </c>
      <c r="B8" s="11">
        <v>0</v>
      </c>
    </row>
    <row r="9" spans="1:2" x14ac:dyDescent="0.25">
      <c r="A9" t="s">
        <v>102</v>
      </c>
      <c r="B9" s="1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Pedidos</vt:lpstr>
      <vt:lpstr>Análise Venda</vt:lpstr>
      <vt:lpstr>Estoque</vt:lpstr>
      <vt:lpstr>Compras</vt:lpstr>
      <vt:lpstr>Pricing</vt:lpstr>
      <vt:lpstr>Conversão Marketing</vt:lpstr>
      <vt:lpstr>Petiscos</vt:lpstr>
      <vt:lpstr>Cervejas</vt:lpstr>
      <vt:lpstr>Refrigerantes</vt:lpstr>
      <vt:lpstr>Águas</vt:lpstr>
      <vt:lpstr>Sucos</vt:lpstr>
      <vt:lpstr>Energéticos</vt:lpstr>
      <vt:lpstr>Destilados</vt:lpstr>
      <vt:lpstr>Taxas Serviços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Eduardo de Souza Silva</dc:creator>
  <cp:lastModifiedBy>Luis Eduardo de Souza Silva</cp:lastModifiedBy>
  <dcterms:created xsi:type="dcterms:W3CDTF">2021-12-18T00:58:15Z</dcterms:created>
  <dcterms:modified xsi:type="dcterms:W3CDTF">2021-12-23T13:01:02Z</dcterms:modified>
</cp:coreProperties>
</file>