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drawings/drawing5.xml" ContentType="application/vnd.openxmlformats-officedocument.drawing+xml"/>
  <Override PartName="/xl/tables/table5.xml" ContentType="application/vnd.openxmlformats-officedocument.spreadsheetml.table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ate1904="1"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5bd9f4e4cbf0e6f/Documentos/Portifólios/"/>
    </mc:Choice>
  </mc:AlternateContent>
  <xr:revisionPtr revIDLastSave="0" documentId="8_{6B2A1F92-D373-40A6-8AAB-0E3E6CB28F6A}" xr6:coauthVersionLast="47" xr6:coauthVersionMax="47" xr10:uidLastSave="{00000000-0000-0000-0000-000000000000}"/>
  <bookViews>
    <workbookView xWindow="-120" yWindow="-120" windowWidth="20730" windowHeight="11760" tabRatio="563" xr2:uid="{4C6988F8-8706-4793-AB45-575CB184ED0F}"/>
  </bookViews>
  <sheets>
    <sheet name="Planilha1" sheetId="11" r:id="rId1"/>
    <sheet name="Menu" sheetId="1" r:id="rId2"/>
    <sheet name="Cadastro" sheetId="2" state="hidden" r:id="rId3"/>
    <sheet name="Funcionarios" sheetId="3" r:id="rId4"/>
    <sheet name="Lançamento de Horas" sheetId="4" r:id="rId5"/>
    <sheet name="Feriados" sheetId="5" state="hidden" r:id="rId6"/>
    <sheet name="F_Ponto" sheetId="7" r:id="rId7"/>
    <sheet name="Dsr" sheetId="6" state="hidden" r:id="rId8"/>
    <sheet name="Contra-Cheque" sheetId="8" state="hidden" r:id="rId9"/>
    <sheet name="Bizu" sheetId="9" state="hidden" r:id="rId10"/>
    <sheet name="INTERJORNADA" sheetId="10" state="hidden" r:id="rId11"/>
  </sheets>
  <externalReferences>
    <externalReference r:id="rId12"/>
  </externalReferences>
  <definedNames>
    <definedName name="_xlnm._FilterDatabase" localSheetId="4" hidden="1">'Lançamento de Horas'!$A:$L</definedName>
    <definedName name="_xlnm.Extract" localSheetId="6">F_Ponto!$B$22:$I$22</definedName>
    <definedName name="_xlnm.Extract" localSheetId="4">'Lançamento de Horas'!$AE$1:$AM$1</definedName>
    <definedName name="_xlnm.Print_Area" localSheetId="8">'Contra-Cheque'!$B$3:$J$30</definedName>
    <definedName name="_xlnm.Print_Area" localSheetId="6">F_Ponto!$A$1:$I$22</definedName>
    <definedName name="_xlnm.Criteria" localSheetId="6">F_Ponto!$O$3:$Q$4</definedName>
    <definedName name="_xlnm.Criteria" localSheetId="4">'Lançamento de Horas'!$AE$1:$AM$1</definedName>
    <definedName name="Referencia_Filtro">F_Ponto!$O$2:$R$5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67" i="4" l="1"/>
  <c r="F367" i="4"/>
  <c r="J367" i="4"/>
  <c r="K367" i="4"/>
  <c r="M367" i="4"/>
  <c r="N367" i="4"/>
  <c r="P367" i="4" s="1"/>
  <c r="O367" i="4"/>
  <c r="C366" i="4"/>
  <c r="F366" i="4"/>
  <c r="J366" i="4"/>
  <c r="K366" i="4"/>
  <c r="M366" i="4"/>
  <c r="N366" i="4"/>
  <c r="P366" i="4" s="1"/>
  <c r="O366" i="4"/>
  <c r="C365" i="4"/>
  <c r="F365" i="4"/>
  <c r="J365" i="4"/>
  <c r="K365" i="4"/>
  <c r="M365" i="4"/>
  <c r="N365" i="4"/>
  <c r="P365" i="4" s="1"/>
  <c r="O365" i="4"/>
  <c r="C362" i="4"/>
  <c r="C363" i="4"/>
  <c r="C364" i="4"/>
  <c r="F362" i="4"/>
  <c r="F363" i="4"/>
  <c r="F364" i="4"/>
  <c r="J362" i="4"/>
  <c r="J363" i="4"/>
  <c r="J364" i="4"/>
  <c r="M362" i="4"/>
  <c r="M363" i="4"/>
  <c r="M364" i="4"/>
  <c r="N362" i="4"/>
  <c r="I362" i="4" s="1"/>
  <c r="K362" i="4" s="1"/>
  <c r="N363" i="4"/>
  <c r="I363" i="4" s="1"/>
  <c r="K363" i="4" s="1"/>
  <c r="N364" i="4"/>
  <c r="I364" i="4" s="1"/>
  <c r="K364" i="4" s="1"/>
  <c r="O362" i="4"/>
  <c r="O363" i="4"/>
  <c r="O364" i="4"/>
  <c r="P362" i="4"/>
  <c r="C360" i="4"/>
  <c r="C361" i="4"/>
  <c r="F360" i="4"/>
  <c r="F361" i="4"/>
  <c r="J360" i="4"/>
  <c r="J361" i="4"/>
  <c r="K360" i="4"/>
  <c r="K361" i="4"/>
  <c r="M360" i="4"/>
  <c r="M361" i="4"/>
  <c r="N360" i="4"/>
  <c r="I360" i="4" s="1"/>
  <c r="N361" i="4"/>
  <c r="O360" i="4"/>
  <c r="O361" i="4"/>
  <c r="P360" i="4"/>
  <c r="P361" i="4"/>
  <c r="C359" i="4"/>
  <c r="F359" i="4"/>
  <c r="J359" i="4"/>
  <c r="K359" i="4"/>
  <c r="M359" i="4"/>
  <c r="N359" i="4"/>
  <c r="O359" i="4"/>
  <c r="P359" i="4"/>
  <c r="C355" i="4"/>
  <c r="C356" i="4"/>
  <c r="C357" i="4"/>
  <c r="C358" i="4"/>
  <c r="F355" i="4"/>
  <c r="F356" i="4"/>
  <c r="F357" i="4"/>
  <c r="F358" i="4"/>
  <c r="J355" i="4"/>
  <c r="J356" i="4"/>
  <c r="J357" i="4"/>
  <c r="J358" i="4"/>
  <c r="M355" i="4"/>
  <c r="M356" i="4"/>
  <c r="M357" i="4"/>
  <c r="M358" i="4"/>
  <c r="N355" i="4"/>
  <c r="I355" i="4" s="1"/>
  <c r="K355" i="4" s="1"/>
  <c r="N356" i="4"/>
  <c r="I356" i="4" s="1"/>
  <c r="K356" i="4" s="1"/>
  <c r="N357" i="4"/>
  <c r="I357" i="4" s="1"/>
  <c r="K357" i="4" s="1"/>
  <c r="N358" i="4"/>
  <c r="I358" i="4" s="1"/>
  <c r="K358" i="4" s="1"/>
  <c r="O355" i="4"/>
  <c r="O356" i="4"/>
  <c r="O357" i="4"/>
  <c r="O358" i="4"/>
  <c r="P355" i="4"/>
  <c r="C342" i="4"/>
  <c r="F342" i="4"/>
  <c r="M342" i="4"/>
  <c r="N342" i="4"/>
  <c r="P342" i="4" s="1"/>
  <c r="O342" i="4"/>
  <c r="C354" i="4"/>
  <c r="F354" i="4"/>
  <c r="J354" i="4"/>
  <c r="M354" i="4"/>
  <c r="N354" i="4"/>
  <c r="O354" i="4"/>
  <c r="C351" i="4"/>
  <c r="C352" i="4"/>
  <c r="C353" i="4"/>
  <c r="F351" i="4"/>
  <c r="F352" i="4"/>
  <c r="F353" i="4"/>
  <c r="J352" i="4"/>
  <c r="J353" i="4"/>
  <c r="M351" i="4"/>
  <c r="M352" i="4"/>
  <c r="M353" i="4"/>
  <c r="N351" i="4"/>
  <c r="I351" i="4" s="1"/>
  <c r="K351" i="4" s="1"/>
  <c r="N352" i="4"/>
  <c r="N353" i="4"/>
  <c r="I353" i="4" s="1"/>
  <c r="K353" i="4" s="1"/>
  <c r="O351" i="4"/>
  <c r="O352" i="4"/>
  <c r="O353" i="4"/>
  <c r="C347" i="4"/>
  <c r="C348" i="4"/>
  <c r="C349" i="4"/>
  <c r="C350" i="4"/>
  <c r="F347" i="4"/>
  <c r="F348" i="4"/>
  <c r="F349" i="4"/>
  <c r="F350" i="4"/>
  <c r="M347" i="4"/>
  <c r="M348" i="4"/>
  <c r="M349" i="4"/>
  <c r="M350" i="4"/>
  <c r="N347" i="4"/>
  <c r="I347" i="4" s="1"/>
  <c r="K347" i="4" s="1"/>
  <c r="N348" i="4"/>
  <c r="I348" i="4" s="1"/>
  <c r="K348" i="4" s="1"/>
  <c r="N349" i="4"/>
  <c r="J349" i="4" s="1"/>
  <c r="N350" i="4"/>
  <c r="I350" i="4" s="1"/>
  <c r="K350" i="4" s="1"/>
  <c r="O347" i="4"/>
  <c r="O348" i="4"/>
  <c r="O349" i="4"/>
  <c r="O350" i="4"/>
  <c r="P348" i="4"/>
  <c r="C343" i="4"/>
  <c r="C344" i="4"/>
  <c r="C345" i="4"/>
  <c r="C346" i="4"/>
  <c r="F343" i="4"/>
  <c r="F344" i="4"/>
  <c r="F345" i="4"/>
  <c r="F346" i="4"/>
  <c r="M343" i="4"/>
  <c r="M344" i="4"/>
  <c r="M345" i="4"/>
  <c r="M346" i="4"/>
  <c r="N343" i="4"/>
  <c r="I343" i="4" s="1"/>
  <c r="K343" i="4" s="1"/>
  <c r="N344" i="4"/>
  <c r="I344" i="4" s="1"/>
  <c r="K344" i="4" s="1"/>
  <c r="N345" i="4"/>
  <c r="J345" i="4" s="1"/>
  <c r="N346" i="4"/>
  <c r="I346" i="4" s="1"/>
  <c r="K346" i="4" s="1"/>
  <c r="O343" i="4"/>
  <c r="O344" i="4"/>
  <c r="O345" i="4"/>
  <c r="O346" i="4"/>
  <c r="C341" i="4"/>
  <c r="F341" i="4"/>
  <c r="M341" i="4"/>
  <c r="N341" i="4"/>
  <c r="J341" i="4" s="1"/>
  <c r="O341" i="4"/>
  <c r="C338" i="4"/>
  <c r="C339" i="4"/>
  <c r="C340" i="4"/>
  <c r="F338" i="4"/>
  <c r="F339" i="4"/>
  <c r="F340" i="4"/>
  <c r="M338" i="4"/>
  <c r="M339" i="4"/>
  <c r="M340" i="4"/>
  <c r="N338" i="4"/>
  <c r="I338" i="4" s="1"/>
  <c r="N339" i="4"/>
  <c r="J339" i="4" s="1"/>
  <c r="N340" i="4"/>
  <c r="I340" i="4" s="1"/>
  <c r="K340" i="4" s="1"/>
  <c r="O338" i="4"/>
  <c r="O339" i="4"/>
  <c r="O340" i="4"/>
  <c r="C331" i="4"/>
  <c r="C334" i="4"/>
  <c r="C337" i="4"/>
  <c r="F331" i="4"/>
  <c r="F334" i="4"/>
  <c r="F337" i="4"/>
  <c r="M331" i="4"/>
  <c r="M334" i="4"/>
  <c r="M337" i="4"/>
  <c r="N331" i="4"/>
  <c r="I331" i="4" s="1"/>
  <c r="N334" i="4"/>
  <c r="J334" i="4" s="1"/>
  <c r="N337" i="4"/>
  <c r="I337" i="4" s="1"/>
  <c r="K337" i="4" s="1"/>
  <c r="O331" i="4"/>
  <c r="P331" i="4" s="1"/>
  <c r="O334" i="4"/>
  <c r="O337" i="4"/>
  <c r="C328" i="4"/>
  <c r="F328" i="4"/>
  <c r="M328" i="4"/>
  <c r="N328" i="4"/>
  <c r="J328" i="4" s="1"/>
  <c r="O328" i="4"/>
  <c r="C335" i="4"/>
  <c r="C336" i="4"/>
  <c r="F335" i="4"/>
  <c r="F336" i="4"/>
  <c r="M335" i="4"/>
  <c r="M336" i="4"/>
  <c r="N335" i="4"/>
  <c r="I335" i="4" s="1"/>
  <c r="N336" i="4"/>
  <c r="J336" i="4" s="1"/>
  <c r="O335" i="4"/>
  <c r="O336" i="4"/>
  <c r="C333" i="4"/>
  <c r="F333" i="4"/>
  <c r="M333" i="4"/>
  <c r="N333" i="4"/>
  <c r="J333" i="4" s="1"/>
  <c r="O333" i="4"/>
  <c r="C332" i="4"/>
  <c r="F332" i="4"/>
  <c r="M332" i="4"/>
  <c r="N332" i="4"/>
  <c r="J332" i="4" s="1"/>
  <c r="O332" i="4"/>
  <c r="C329" i="4"/>
  <c r="C330" i="4"/>
  <c r="F329" i="4"/>
  <c r="F330" i="4"/>
  <c r="M329" i="4"/>
  <c r="M330" i="4"/>
  <c r="N329" i="4"/>
  <c r="I329" i="4" s="1"/>
  <c r="K329" i="4" s="1"/>
  <c r="N330" i="4"/>
  <c r="J330" i="4" s="1"/>
  <c r="O329" i="4"/>
  <c r="O330" i="4"/>
  <c r="C327" i="4"/>
  <c r="F327" i="4"/>
  <c r="M327" i="4"/>
  <c r="N327" i="4"/>
  <c r="I327" i="4" s="1"/>
  <c r="O327" i="4"/>
  <c r="C326" i="4"/>
  <c r="F326" i="4"/>
  <c r="M326" i="4"/>
  <c r="N326" i="4"/>
  <c r="J326" i="4" s="1"/>
  <c r="O326" i="4"/>
  <c r="C324" i="4"/>
  <c r="C325" i="4"/>
  <c r="F324" i="4"/>
  <c r="F325" i="4"/>
  <c r="M324" i="4"/>
  <c r="M325" i="4"/>
  <c r="N324" i="4"/>
  <c r="I324" i="4" s="1"/>
  <c r="L324" i="4" s="1"/>
  <c r="N325" i="4"/>
  <c r="I325" i="4" s="1"/>
  <c r="L325" i="4" s="1"/>
  <c r="O324" i="4"/>
  <c r="O325" i="4"/>
  <c r="C322" i="4"/>
  <c r="C323" i="4"/>
  <c r="F322" i="4"/>
  <c r="F323" i="4"/>
  <c r="M322" i="4"/>
  <c r="M323" i="4"/>
  <c r="N322" i="4"/>
  <c r="I322" i="4" s="1"/>
  <c r="N323" i="4"/>
  <c r="I323" i="4" s="1"/>
  <c r="K323" i="4" s="1"/>
  <c r="O322" i="4"/>
  <c r="O323" i="4"/>
  <c r="C321" i="4"/>
  <c r="F321" i="4"/>
  <c r="M321" i="4"/>
  <c r="N321" i="4"/>
  <c r="J321" i="4" s="1"/>
  <c r="O321" i="4"/>
  <c r="C320" i="4"/>
  <c r="F320" i="4"/>
  <c r="M320" i="4"/>
  <c r="N320" i="4"/>
  <c r="I320" i="4" s="1"/>
  <c r="O320" i="4"/>
  <c r="C319" i="4"/>
  <c r="F319" i="4"/>
  <c r="M319" i="4"/>
  <c r="N319" i="4"/>
  <c r="J319" i="4" s="1"/>
  <c r="O319" i="4"/>
  <c r="C318" i="4"/>
  <c r="F318" i="4"/>
  <c r="M318" i="4"/>
  <c r="N318" i="4"/>
  <c r="J318" i="4" s="1"/>
  <c r="O318" i="4"/>
  <c r="I367" i="4" l="1"/>
  <c r="L367" i="4" s="1"/>
  <c r="I366" i="4"/>
  <c r="L366" i="4" s="1"/>
  <c r="I365" i="4"/>
  <c r="L365" i="4" s="1"/>
  <c r="L362" i="4"/>
  <c r="P364" i="4"/>
  <c r="P363" i="4"/>
  <c r="L363" i="4"/>
  <c r="L364" i="4"/>
  <c r="L361" i="4"/>
  <c r="L360" i="4"/>
  <c r="I361" i="4"/>
  <c r="I359" i="4"/>
  <c r="L359" i="4" s="1"/>
  <c r="P347" i="4"/>
  <c r="P335" i="4"/>
  <c r="P351" i="4"/>
  <c r="J351" i="4"/>
  <c r="P354" i="4"/>
  <c r="J342" i="4"/>
  <c r="P357" i="4"/>
  <c r="L357" i="4" s="1"/>
  <c r="P329" i="4"/>
  <c r="P346" i="4"/>
  <c r="P358" i="4"/>
  <c r="P322" i="4"/>
  <c r="K327" i="4"/>
  <c r="J338" i="4"/>
  <c r="P344" i="4"/>
  <c r="P356" i="4"/>
  <c r="L356" i="4" s="1"/>
  <c r="L358" i="4"/>
  <c r="L355" i="4"/>
  <c r="P340" i="4"/>
  <c r="J346" i="4"/>
  <c r="J348" i="4"/>
  <c r="I342" i="4"/>
  <c r="P343" i="4"/>
  <c r="L338" i="4"/>
  <c r="J347" i="4"/>
  <c r="J343" i="4"/>
  <c r="J340" i="4"/>
  <c r="J344" i="4"/>
  <c r="J350" i="4"/>
  <c r="P353" i="4"/>
  <c r="I354" i="4"/>
  <c r="L351" i="4"/>
  <c r="I352" i="4"/>
  <c r="P352" i="4" s="1"/>
  <c r="L353" i="4"/>
  <c r="P350" i="4"/>
  <c r="L350" i="4" s="1"/>
  <c r="I349" i="4"/>
  <c r="L348" i="4"/>
  <c r="L347" i="4"/>
  <c r="L346" i="4"/>
  <c r="I345" i="4"/>
  <c r="L344" i="4"/>
  <c r="L343" i="4"/>
  <c r="I341" i="4"/>
  <c r="P338" i="4"/>
  <c r="K338" i="4"/>
  <c r="L340" i="4"/>
  <c r="I339" i="4"/>
  <c r="P327" i="4"/>
  <c r="P337" i="4"/>
  <c r="K322" i="4"/>
  <c r="J327" i="4"/>
  <c r="L331" i="4"/>
  <c r="K335" i="4"/>
  <c r="P323" i="4"/>
  <c r="J323" i="4"/>
  <c r="J325" i="4"/>
  <c r="J320" i="4"/>
  <c r="J329" i="4"/>
  <c r="J331" i="4"/>
  <c r="J322" i="4"/>
  <c r="J324" i="4"/>
  <c r="J335" i="4"/>
  <c r="K320" i="4"/>
  <c r="J337" i="4"/>
  <c r="K331" i="4"/>
  <c r="I334" i="4"/>
  <c r="K334" i="4" s="1"/>
  <c r="L337" i="4"/>
  <c r="I328" i="4"/>
  <c r="P328" i="4" s="1"/>
  <c r="L335" i="4"/>
  <c r="I336" i="4"/>
  <c r="L336" i="4" s="1"/>
  <c r="I333" i="4"/>
  <c r="P333" i="4" s="1"/>
  <c r="I332" i="4"/>
  <c r="P332" i="4" s="1"/>
  <c r="L329" i="4"/>
  <c r="I330" i="4"/>
  <c r="L327" i="4"/>
  <c r="I326" i="4"/>
  <c r="K326" i="4" s="1"/>
  <c r="K324" i="4"/>
  <c r="K325" i="4"/>
  <c r="P325" i="4"/>
  <c r="P324" i="4"/>
  <c r="L322" i="4"/>
  <c r="L323" i="4"/>
  <c r="I321" i="4"/>
  <c r="P321" i="4" s="1"/>
  <c r="P320" i="4"/>
  <c r="L320" i="4"/>
  <c r="I319" i="4"/>
  <c r="P319" i="4" s="1"/>
  <c r="I318" i="4"/>
  <c r="L352" i="4" l="1"/>
  <c r="K352" i="4"/>
  <c r="L354" i="4"/>
  <c r="K354" i="4"/>
  <c r="L342" i="4"/>
  <c r="K342" i="4"/>
  <c r="L349" i="4"/>
  <c r="K349" i="4"/>
  <c r="P349" i="4"/>
  <c r="L345" i="4"/>
  <c r="K345" i="4"/>
  <c r="P345" i="4"/>
  <c r="L341" i="4"/>
  <c r="K341" i="4"/>
  <c r="P341" i="4"/>
  <c r="K339" i="4"/>
  <c r="P339" i="4"/>
  <c r="L339" i="4"/>
  <c r="L334" i="4"/>
  <c r="L328" i="4"/>
  <c r="K328" i="4"/>
  <c r="P334" i="4"/>
  <c r="K336" i="4"/>
  <c r="P336" i="4"/>
  <c r="L332" i="4"/>
  <c r="K332" i="4"/>
  <c r="L333" i="4"/>
  <c r="K333" i="4"/>
  <c r="L330" i="4"/>
  <c r="K330" i="4"/>
  <c r="L326" i="4"/>
  <c r="P326" i="4"/>
  <c r="P330" i="4"/>
  <c r="L321" i="4"/>
  <c r="K321" i="4"/>
  <c r="L318" i="4"/>
  <c r="K318" i="4"/>
  <c r="L319" i="4"/>
  <c r="K319" i="4"/>
  <c r="P318" i="4"/>
  <c r="C317" i="4" l="1"/>
  <c r="F317" i="4"/>
  <c r="M317" i="4"/>
  <c r="N317" i="4"/>
  <c r="P317" i="4" s="1"/>
  <c r="O317" i="4"/>
  <c r="C315" i="4"/>
  <c r="C316" i="4"/>
  <c r="F315" i="4"/>
  <c r="F316" i="4"/>
  <c r="M315" i="4"/>
  <c r="M316" i="4"/>
  <c r="N315" i="4"/>
  <c r="I315" i="4" s="1"/>
  <c r="K315" i="4" s="1"/>
  <c r="N316" i="4"/>
  <c r="J316" i="4" s="1"/>
  <c r="O315" i="4"/>
  <c r="O316" i="4"/>
  <c r="C313" i="4"/>
  <c r="C314" i="4"/>
  <c r="F313" i="4"/>
  <c r="F314" i="4"/>
  <c r="M313" i="4"/>
  <c r="M314" i="4"/>
  <c r="N313" i="4"/>
  <c r="I313" i="4" s="1"/>
  <c r="N314" i="4"/>
  <c r="J314" i="4" s="1"/>
  <c r="O313" i="4"/>
  <c r="O314" i="4"/>
  <c r="C312" i="4"/>
  <c r="F312" i="4"/>
  <c r="M312" i="4"/>
  <c r="N312" i="4"/>
  <c r="J312" i="4" s="1"/>
  <c r="O312" i="4"/>
  <c r="C311" i="4"/>
  <c r="F311" i="4"/>
  <c r="N311" i="4"/>
  <c r="J311" i="4" s="1"/>
  <c r="O311" i="4"/>
  <c r="C309" i="4"/>
  <c r="C310" i="4"/>
  <c r="F309" i="4"/>
  <c r="F310" i="4"/>
  <c r="N309" i="4"/>
  <c r="N310" i="4"/>
  <c r="J310" i="4" s="1"/>
  <c r="O309" i="4"/>
  <c r="O310" i="4"/>
  <c r="C308" i="4"/>
  <c r="F308" i="4"/>
  <c r="N308" i="4"/>
  <c r="J308" i="4" s="1"/>
  <c r="O308" i="4"/>
  <c r="C306" i="4"/>
  <c r="C307" i="4"/>
  <c r="F306" i="4"/>
  <c r="F307" i="4"/>
  <c r="N306" i="4"/>
  <c r="N307" i="4"/>
  <c r="O306" i="4"/>
  <c r="O307" i="4"/>
  <c r="F304" i="4"/>
  <c r="F299" i="4"/>
  <c r="C299" i="4"/>
  <c r="N299" i="4"/>
  <c r="J299" i="4" s="1"/>
  <c r="O299" i="4"/>
  <c r="F305" i="4"/>
  <c r="C304" i="4"/>
  <c r="C305" i="4"/>
  <c r="N304" i="4"/>
  <c r="J304" i="4" s="1"/>
  <c r="N305" i="4"/>
  <c r="J305" i="4" s="1"/>
  <c r="O304" i="4"/>
  <c r="O305" i="4"/>
  <c r="C302" i="4"/>
  <c r="C303" i="4"/>
  <c r="F302" i="4"/>
  <c r="F303" i="4"/>
  <c r="N302" i="4"/>
  <c r="N303" i="4"/>
  <c r="O302" i="4"/>
  <c r="O303" i="4"/>
  <c r="C301" i="4"/>
  <c r="F301" i="4"/>
  <c r="N301" i="4"/>
  <c r="J301" i="4" s="1"/>
  <c r="O301" i="4"/>
  <c r="C300" i="4"/>
  <c r="F300" i="4"/>
  <c r="N300" i="4"/>
  <c r="J300" i="4" s="1"/>
  <c r="O300" i="4"/>
  <c r="C298" i="4"/>
  <c r="F298" i="4"/>
  <c r="N298" i="4"/>
  <c r="J298" i="4" s="1"/>
  <c r="O298" i="4"/>
  <c r="C293" i="4"/>
  <c r="C294" i="4"/>
  <c r="C295" i="4"/>
  <c r="C296" i="4"/>
  <c r="C297" i="4"/>
  <c r="F293" i="4"/>
  <c r="F294" i="4"/>
  <c r="F295" i="4"/>
  <c r="F296" i="4"/>
  <c r="F297" i="4"/>
  <c r="N293" i="4"/>
  <c r="J293" i="4" s="1"/>
  <c r="N294" i="4"/>
  <c r="N295" i="4"/>
  <c r="J295" i="4" s="1"/>
  <c r="N296" i="4"/>
  <c r="J296" i="4" s="1"/>
  <c r="N297" i="4"/>
  <c r="J297" i="4" s="1"/>
  <c r="O293" i="4"/>
  <c r="O294" i="4"/>
  <c r="O295" i="4"/>
  <c r="O296" i="4"/>
  <c r="O297" i="4"/>
  <c r="C289" i="4"/>
  <c r="C290" i="4"/>
  <c r="C291" i="4"/>
  <c r="C292" i="4"/>
  <c r="F289" i="4"/>
  <c r="F290" i="4"/>
  <c r="F291" i="4"/>
  <c r="F292" i="4"/>
  <c r="N289" i="4"/>
  <c r="J289" i="4" s="1"/>
  <c r="N290" i="4"/>
  <c r="N291" i="4"/>
  <c r="N292" i="4"/>
  <c r="J292" i="4" s="1"/>
  <c r="O289" i="4"/>
  <c r="O290" i="4"/>
  <c r="O291" i="4"/>
  <c r="O292" i="4"/>
  <c r="C286" i="4"/>
  <c r="C287" i="4"/>
  <c r="C288" i="4"/>
  <c r="F286" i="4"/>
  <c r="F287" i="4"/>
  <c r="F288" i="4"/>
  <c r="N286" i="4"/>
  <c r="N287" i="4"/>
  <c r="N288" i="4"/>
  <c r="J288" i="4" s="1"/>
  <c r="O286" i="4"/>
  <c r="O287" i="4"/>
  <c r="O288" i="4"/>
  <c r="C285" i="4"/>
  <c r="F285" i="4"/>
  <c r="N285" i="4"/>
  <c r="J285" i="4" s="1"/>
  <c r="O285" i="4"/>
  <c r="C282" i="4"/>
  <c r="C283" i="4"/>
  <c r="C284" i="4"/>
  <c r="F282" i="4"/>
  <c r="F283" i="4"/>
  <c r="F284" i="4"/>
  <c r="N282" i="4"/>
  <c r="N283" i="4"/>
  <c r="N284" i="4"/>
  <c r="J284" i="4" s="1"/>
  <c r="O282" i="4"/>
  <c r="O283" i="4"/>
  <c r="O284" i="4"/>
  <c r="C281" i="4"/>
  <c r="F281" i="4"/>
  <c r="N281" i="4"/>
  <c r="J281" i="4" s="1"/>
  <c r="O281" i="4"/>
  <c r="C280" i="4"/>
  <c r="F280" i="4"/>
  <c r="N280" i="4"/>
  <c r="J280" i="4" s="1"/>
  <c r="O280" i="4"/>
  <c r="C279" i="4"/>
  <c r="F279" i="4"/>
  <c r="N279" i="4"/>
  <c r="O279" i="4"/>
  <c r="K313" i="4" l="1"/>
  <c r="P315" i="4"/>
  <c r="J317" i="4"/>
  <c r="J313" i="4"/>
  <c r="P313" i="4"/>
  <c r="J315" i="4"/>
  <c r="I317" i="4"/>
  <c r="L315" i="4"/>
  <c r="I316" i="4"/>
  <c r="L316" i="4" s="1"/>
  <c r="L313" i="4"/>
  <c r="I314" i="4"/>
  <c r="I312" i="4"/>
  <c r="P312" i="4" s="1"/>
  <c r="J309" i="4"/>
  <c r="J307" i="4"/>
  <c r="J306" i="4"/>
  <c r="J303" i="4"/>
  <c r="J302" i="4"/>
  <c r="J294" i="4"/>
  <c r="J283" i="4"/>
  <c r="J282" i="4"/>
  <c r="J291" i="4"/>
  <c r="J290" i="4"/>
  <c r="J287" i="4"/>
  <c r="J286" i="4"/>
  <c r="J279" i="4"/>
  <c r="L317" i="4" l="1"/>
  <c r="K317" i="4"/>
  <c r="K316" i="4"/>
  <c r="P316" i="4"/>
  <c r="K314" i="4"/>
  <c r="P314" i="4"/>
  <c r="L314" i="4"/>
  <c r="L312" i="4"/>
  <c r="K312" i="4"/>
  <c r="C277" i="4"/>
  <c r="C278" i="4"/>
  <c r="F277" i="4"/>
  <c r="F278" i="4"/>
  <c r="N277" i="4"/>
  <c r="N278" i="4"/>
  <c r="O277" i="4"/>
  <c r="O278" i="4"/>
  <c r="C275" i="4"/>
  <c r="C276" i="4"/>
  <c r="F275" i="4"/>
  <c r="F276" i="4"/>
  <c r="N275" i="4"/>
  <c r="N276" i="4"/>
  <c r="O275" i="4"/>
  <c r="O276" i="4"/>
  <c r="C271" i="4"/>
  <c r="C272" i="4"/>
  <c r="C273" i="4"/>
  <c r="C274" i="4"/>
  <c r="F271" i="4"/>
  <c r="F272" i="4"/>
  <c r="F273" i="4"/>
  <c r="F274" i="4"/>
  <c r="N271" i="4"/>
  <c r="N272" i="4"/>
  <c r="N273" i="4"/>
  <c r="N274" i="4"/>
  <c r="O271" i="4"/>
  <c r="O272" i="4"/>
  <c r="O273" i="4"/>
  <c r="O274" i="4"/>
  <c r="C268" i="4"/>
  <c r="C269" i="4"/>
  <c r="C270" i="4"/>
  <c r="F268" i="4"/>
  <c r="F269" i="4"/>
  <c r="F270" i="4"/>
  <c r="N268" i="4"/>
  <c r="N269" i="4"/>
  <c r="N270" i="4"/>
  <c r="O268" i="4"/>
  <c r="O269" i="4"/>
  <c r="O270" i="4"/>
  <c r="C267" i="4"/>
  <c r="F267" i="4"/>
  <c r="N267" i="4"/>
  <c r="O267" i="4"/>
  <c r="C265" i="4"/>
  <c r="C266" i="4"/>
  <c r="F265" i="4"/>
  <c r="F266" i="4"/>
  <c r="N265" i="4"/>
  <c r="N266" i="4"/>
  <c r="O265" i="4"/>
  <c r="O266" i="4"/>
  <c r="C262" i="4"/>
  <c r="C263" i="4"/>
  <c r="C264" i="4"/>
  <c r="F262" i="4"/>
  <c r="F263" i="4"/>
  <c r="F264" i="4"/>
  <c r="N262" i="4"/>
  <c r="N263" i="4"/>
  <c r="N264" i="4"/>
  <c r="O262" i="4"/>
  <c r="O263" i="4"/>
  <c r="O264" i="4"/>
  <c r="C259" i="4"/>
  <c r="C260" i="4"/>
  <c r="C261" i="4"/>
  <c r="F259" i="4"/>
  <c r="F260" i="4"/>
  <c r="F261" i="4"/>
  <c r="N259" i="4"/>
  <c r="N260" i="4"/>
  <c r="N261" i="4"/>
  <c r="O259" i="4"/>
  <c r="O260" i="4"/>
  <c r="O261" i="4"/>
  <c r="C256" i="4"/>
  <c r="C257" i="4"/>
  <c r="C258" i="4"/>
  <c r="F256" i="4"/>
  <c r="F257" i="4"/>
  <c r="F258" i="4"/>
  <c r="N256" i="4"/>
  <c r="N257" i="4"/>
  <c r="N258" i="4"/>
  <c r="O256" i="4"/>
  <c r="O257" i="4"/>
  <c r="O258" i="4"/>
  <c r="F16" i="7"/>
  <c r="C253" i="4"/>
  <c r="C254" i="4"/>
  <c r="C255" i="4"/>
  <c r="F253" i="4"/>
  <c r="F254" i="4"/>
  <c r="F255" i="4"/>
  <c r="N253" i="4"/>
  <c r="N254" i="4"/>
  <c r="N255" i="4"/>
  <c r="O253" i="4"/>
  <c r="O254" i="4"/>
  <c r="O255" i="4"/>
  <c r="C252" i="4"/>
  <c r="F252" i="4"/>
  <c r="N252" i="4"/>
  <c r="O252" i="4"/>
  <c r="J252" i="4" l="1"/>
  <c r="J257" i="4"/>
  <c r="J263" i="4"/>
  <c r="J256" i="4"/>
  <c r="J262" i="4"/>
  <c r="J268" i="4"/>
  <c r="J253" i="4"/>
  <c r="J260" i="4"/>
  <c r="J269" i="4"/>
  <c r="J255" i="4"/>
  <c r="J266" i="4"/>
  <c r="J258" i="4"/>
  <c r="J261" i="4"/>
  <c r="J264" i="4"/>
  <c r="J265" i="4"/>
  <c r="J278" i="4"/>
  <c r="J277" i="4"/>
  <c r="J276" i="4"/>
  <c r="J275" i="4"/>
  <c r="J274" i="4"/>
  <c r="J273" i="4"/>
  <c r="J272" i="4"/>
  <c r="J271" i="4"/>
  <c r="J267" i="4"/>
  <c r="J270" i="4"/>
  <c r="J259" i="4"/>
  <c r="J254" i="4"/>
  <c r="C251" i="4"/>
  <c r="F251" i="4"/>
  <c r="N251" i="4"/>
  <c r="O251" i="4"/>
  <c r="C250" i="4"/>
  <c r="F250" i="4"/>
  <c r="N250" i="4"/>
  <c r="O250" i="4"/>
  <c r="C249" i="4"/>
  <c r="F249" i="4"/>
  <c r="N249" i="4"/>
  <c r="O249" i="4"/>
  <c r="C248" i="4"/>
  <c r="F248" i="4"/>
  <c r="N248" i="4"/>
  <c r="O248" i="4"/>
  <c r="C247" i="4"/>
  <c r="F247" i="4"/>
  <c r="N247" i="4"/>
  <c r="O247" i="4"/>
  <c r="C246" i="4"/>
  <c r="F246" i="4"/>
  <c r="N246" i="4"/>
  <c r="O246" i="4"/>
  <c r="C245" i="4"/>
  <c r="F245" i="4"/>
  <c r="K245" i="4"/>
  <c r="M245" i="4"/>
  <c r="N245" i="4"/>
  <c r="O245" i="4"/>
  <c r="C244" i="4"/>
  <c r="F244" i="4"/>
  <c r="N244" i="4"/>
  <c r="O244" i="4"/>
  <c r="C237" i="4"/>
  <c r="C238" i="4"/>
  <c r="C239" i="4"/>
  <c r="C240" i="4"/>
  <c r="C241" i="4"/>
  <c r="C242" i="4"/>
  <c r="C243" i="4"/>
  <c r="F237" i="4"/>
  <c r="F238" i="4"/>
  <c r="F239" i="4"/>
  <c r="F240" i="4"/>
  <c r="F241" i="4"/>
  <c r="F242" i="4"/>
  <c r="F243" i="4"/>
  <c r="N237" i="4"/>
  <c r="N238" i="4"/>
  <c r="N239" i="4"/>
  <c r="N240" i="4"/>
  <c r="N241" i="4"/>
  <c r="N242" i="4"/>
  <c r="N243" i="4"/>
  <c r="O237" i="4"/>
  <c r="O238" i="4"/>
  <c r="O239" i="4"/>
  <c r="O240" i="4"/>
  <c r="O241" i="4"/>
  <c r="O242" i="4"/>
  <c r="O243" i="4"/>
  <c r="C236" i="4"/>
  <c r="F236" i="4"/>
  <c r="N236" i="4"/>
  <c r="O236" i="4"/>
  <c r="C235" i="4"/>
  <c r="F235" i="4"/>
  <c r="M235" i="4"/>
  <c r="N235" i="4"/>
  <c r="O235" i="4"/>
  <c r="C234" i="4"/>
  <c r="F234" i="4"/>
  <c r="M234" i="4"/>
  <c r="N234" i="4"/>
  <c r="O234" i="4"/>
  <c r="C233" i="4"/>
  <c r="F233" i="4"/>
  <c r="M233" i="4"/>
  <c r="N233" i="4"/>
  <c r="O233" i="4"/>
  <c r="C232" i="4"/>
  <c r="F232" i="4"/>
  <c r="N232" i="4"/>
  <c r="O232" i="4"/>
  <c r="C231" i="4"/>
  <c r="F231" i="4"/>
  <c r="N231" i="4"/>
  <c r="O231" i="4"/>
  <c r="C230" i="4"/>
  <c r="F230" i="4"/>
  <c r="N230" i="4"/>
  <c r="O230" i="4"/>
  <c r="C229" i="4"/>
  <c r="F229" i="4"/>
  <c r="N229" i="4"/>
  <c r="O229" i="4"/>
  <c r="C228" i="4"/>
  <c r="F228" i="4"/>
  <c r="N228" i="4"/>
  <c r="O228" i="4"/>
  <c r="J235" i="4" l="1"/>
  <c r="J238" i="4"/>
  <c r="J241" i="4"/>
  <c r="J237" i="4"/>
  <c r="J244" i="4"/>
  <c r="J245" i="4"/>
  <c r="J242" i="4"/>
  <c r="J228" i="4"/>
  <c r="J229" i="4"/>
  <c r="J230" i="4"/>
  <c r="J231" i="4"/>
  <c r="J232" i="4"/>
  <c r="J233" i="4"/>
  <c r="J240" i="4"/>
  <c r="J234" i="4"/>
  <c r="J246" i="4"/>
  <c r="J248" i="4"/>
  <c r="J249" i="4"/>
  <c r="J250" i="4"/>
  <c r="J251" i="4"/>
  <c r="J247" i="4"/>
  <c r="J236" i="4"/>
  <c r="J243" i="4"/>
  <c r="J239" i="4"/>
  <c r="C221" i="4"/>
  <c r="C222" i="4"/>
  <c r="C223" i="4"/>
  <c r="C224" i="4"/>
  <c r="C225" i="4"/>
  <c r="C226" i="4"/>
  <c r="C227" i="4"/>
  <c r="F221" i="4"/>
  <c r="F222" i="4"/>
  <c r="F223" i="4"/>
  <c r="F224" i="4"/>
  <c r="F225" i="4"/>
  <c r="F226" i="4"/>
  <c r="F227" i="4"/>
  <c r="N221" i="4"/>
  <c r="N222" i="4"/>
  <c r="N223" i="4"/>
  <c r="N224" i="4"/>
  <c r="N225" i="4"/>
  <c r="N226" i="4"/>
  <c r="N227" i="4"/>
  <c r="O221" i="4"/>
  <c r="O222" i="4"/>
  <c r="O223" i="4"/>
  <c r="O224" i="4"/>
  <c r="O225" i="4"/>
  <c r="O226" i="4"/>
  <c r="O227" i="4"/>
  <c r="C214" i="4"/>
  <c r="C215" i="4"/>
  <c r="C216" i="4"/>
  <c r="C217" i="4"/>
  <c r="C218" i="4"/>
  <c r="C219" i="4"/>
  <c r="C220" i="4"/>
  <c r="F214" i="4"/>
  <c r="F215" i="4"/>
  <c r="F216" i="4"/>
  <c r="F217" i="4"/>
  <c r="F218" i="4"/>
  <c r="F219" i="4"/>
  <c r="F220" i="4"/>
  <c r="N214" i="4"/>
  <c r="N215" i="4"/>
  <c r="N216" i="4"/>
  <c r="N217" i="4"/>
  <c r="N218" i="4"/>
  <c r="N219" i="4"/>
  <c r="N220" i="4"/>
  <c r="O214" i="4"/>
  <c r="O215" i="4"/>
  <c r="O216" i="4"/>
  <c r="O217" i="4"/>
  <c r="O218" i="4"/>
  <c r="O219" i="4"/>
  <c r="O220" i="4"/>
  <c r="C213" i="4"/>
  <c r="F213" i="4"/>
  <c r="N213" i="4"/>
  <c r="O213" i="4"/>
  <c r="C206" i="4"/>
  <c r="C207" i="4"/>
  <c r="C208" i="4"/>
  <c r="C209" i="4"/>
  <c r="C210" i="4"/>
  <c r="C211" i="4"/>
  <c r="C212" i="4"/>
  <c r="F206" i="4"/>
  <c r="F207" i="4"/>
  <c r="F208" i="4"/>
  <c r="F209" i="4"/>
  <c r="F210" i="4"/>
  <c r="F211" i="4"/>
  <c r="F212" i="4"/>
  <c r="N206" i="4"/>
  <c r="N207" i="4"/>
  <c r="N208" i="4"/>
  <c r="N209" i="4"/>
  <c r="N210" i="4"/>
  <c r="N211" i="4"/>
  <c r="N212" i="4"/>
  <c r="O206" i="4"/>
  <c r="O207" i="4"/>
  <c r="O208" i="4"/>
  <c r="O209" i="4"/>
  <c r="O210" i="4"/>
  <c r="O211" i="4"/>
  <c r="O212" i="4"/>
  <c r="C205" i="4"/>
  <c r="F205" i="4"/>
  <c r="N205" i="4"/>
  <c r="O205" i="4"/>
  <c r="C203" i="4"/>
  <c r="C204" i="4"/>
  <c r="F203" i="4"/>
  <c r="F204" i="4"/>
  <c r="N203" i="4"/>
  <c r="N204" i="4"/>
  <c r="O203" i="4"/>
  <c r="O204" i="4"/>
  <c r="C202" i="4"/>
  <c r="F202" i="4"/>
  <c r="N202" i="4"/>
  <c r="O202" i="4"/>
  <c r="C201" i="4"/>
  <c r="F201" i="4"/>
  <c r="N201" i="4"/>
  <c r="O201" i="4"/>
  <c r="C200" i="4"/>
  <c r="F200" i="4"/>
  <c r="N200" i="4"/>
  <c r="O200" i="4"/>
  <c r="C199" i="4"/>
  <c r="F199" i="4"/>
  <c r="N199" i="4"/>
  <c r="O199" i="4"/>
  <c r="C198" i="4"/>
  <c r="F198" i="4"/>
  <c r="N198" i="4"/>
  <c r="O198" i="4"/>
  <c r="C197" i="4"/>
  <c r="F197" i="4"/>
  <c r="N197" i="4"/>
  <c r="O197" i="4"/>
  <c r="C190" i="4"/>
  <c r="C191" i="4"/>
  <c r="C192" i="4"/>
  <c r="C193" i="4"/>
  <c r="C194" i="4"/>
  <c r="C195" i="4"/>
  <c r="C196" i="4"/>
  <c r="F190" i="4"/>
  <c r="F191" i="4"/>
  <c r="F192" i="4"/>
  <c r="F193" i="4"/>
  <c r="F194" i="4"/>
  <c r="F195" i="4"/>
  <c r="F196" i="4"/>
  <c r="M195" i="4"/>
  <c r="N190" i="4"/>
  <c r="N191" i="4"/>
  <c r="N192" i="4"/>
  <c r="N193" i="4"/>
  <c r="N194" i="4"/>
  <c r="N195" i="4"/>
  <c r="N196" i="4"/>
  <c r="O190" i="4"/>
  <c r="O191" i="4"/>
  <c r="O192" i="4"/>
  <c r="O193" i="4"/>
  <c r="O194" i="4"/>
  <c r="O195" i="4"/>
  <c r="O196" i="4"/>
  <c r="C189" i="4"/>
  <c r="F189" i="4"/>
  <c r="N189" i="4"/>
  <c r="O189" i="4"/>
  <c r="C186" i="4"/>
  <c r="C187" i="4"/>
  <c r="C188" i="4"/>
  <c r="F186" i="4"/>
  <c r="F187" i="4"/>
  <c r="F188" i="4"/>
  <c r="N186" i="4"/>
  <c r="N187" i="4"/>
  <c r="N188" i="4"/>
  <c r="O186" i="4"/>
  <c r="O187" i="4"/>
  <c r="O188" i="4"/>
  <c r="C185" i="4"/>
  <c r="F185" i="4"/>
  <c r="N185" i="4"/>
  <c r="O185" i="4"/>
  <c r="C184" i="4"/>
  <c r="F184" i="4"/>
  <c r="N184" i="4"/>
  <c r="O184" i="4"/>
  <c r="C183" i="4"/>
  <c r="F183" i="4"/>
  <c r="N183" i="4"/>
  <c r="O183" i="4"/>
  <c r="C182" i="4"/>
  <c r="F182" i="4"/>
  <c r="N182" i="4"/>
  <c r="O182" i="4"/>
  <c r="C181" i="4"/>
  <c r="F181" i="4"/>
  <c r="N181" i="4"/>
  <c r="O181" i="4"/>
  <c r="C180" i="4"/>
  <c r="F180" i="4"/>
  <c r="N180" i="4"/>
  <c r="O180" i="4"/>
  <c r="C179" i="4"/>
  <c r="F179" i="4"/>
  <c r="N179" i="4"/>
  <c r="O179" i="4"/>
  <c r="C175" i="4"/>
  <c r="C176" i="4"/>
  <c r="C177" i="4"/>
  <c r="C178" i="4"/>
  <c r="F175" i="4"/>
  <c r="F176" i="4"/>
  <c r="F177" i="4"/>
  <c r="F178" i="4"/>
  <c r="N175" i="4"/>
  <c r="N176" i="4"/>
  <c r="N177" i="4"/>
  <c r="N178" i="4"/>
  <c r="O175" i="4"/>
  <c r="O176" i="4"/>
  <c r="O177" i="4"/>
  <c r="O178" i="4"/>
  <c r="C174" i="4"/>
  <c r="F174" i="4"/>
  <c r="N174" i="4"/>
  <c r="O174" i="4"/>
  <c r="C170" i="4"/>
  <c r="C171" i="4"/>
  <c r="C172" i="4"/>
  <c r="C173" i="4"/>
  <c r="F170" i="4"/>
  <c r="F171" i="4"/>
  <c r="F172" i="4"/>
  <c r="F173" i="4"/>
  <c r="N170" i="4"/>
  <c r="N171" i="4"/>
  <c r="N172" i="4"/>
  <c r="N173" i="4"/>
  <c r="O170" i="4"/>
  <c r="O171" i="4"/>
  <c r="O172" i="4"/>
  <c r="O173" i="4"/>
  <c r="C169" i="4"/>
  <c r="F169" i="4"/>
  <c r="N169" i="4"/>
  <c r="O169" i="4"/>
  <c r="C165" i="4"/>
  <c r="C166" i="4"/>
  <c r="C167" i="4"/>
  <c r="C168" i="4"/>
  <c r="F165" i="4"/>
  <c r="F166" i="4"/>
  <c r="F167" i="4"/>
  <c r="F168" i="4"/>
  <c r="N165" i="4"/>
  <c r="N166" i="4"/>
  <c r="N167" i="4"/>
  <c r="N168" i="4"/>
  <c r="O165" i="4"/>
  <c r="O166" i="4"/>
  <c r="O167" i="4"/>
  <c r="O168" i="4"/>
  <c r="C164" i="4"/>
  <c r="F164" i="4"/>
  <c r="N164" i="4"/>
  <c r="O164" i="4"/>
  <c r="C160" i="4"/>
  <c r="C161" i="4"/>
  <c r="C162" i="4"/>
  <c r="C163" i="4"/>
  <c r="F160" i="4"/>
  <c r="F161" i="4"/>
  <c r="F162" i="4"/>
  <c r="F163" i="4"/>
  <c r="N160" i="4"/>
  <c r="N161" i="4"/>
  <c r="N162" i="4"/>
  <c r="N163" i="4"/>
  <c r="O160" i="4"/>
  <c r="O161" i="4"/>
  <c r="O162" i="4"/>
  <c r="O163" i="4"/>
  <c r="J162" i="4" l="1"/>
  <c r="J169" i="4"/>
  <c r="J172" i="4"/>
  <c r="J181" i="4"/>
  <c r="J194" i="4"/>
  <c r="J207" i="4"/>
  <c r="J166" i="4"/>
  <c r="J171" i="4"/>
  <c r="J193" i="4"/>
  <c r="J197" i="4"/>
  <c r="J198" i="4"/>
  <c r="J200" i="4"/>
  <c r="J201" i="4"/>
  <c r="J202" i="4"/>
  <c r="J205" i="4"/>
  <c r="J210" i="4"/>
  <c r="J206" i="4"/>
  <c r="J167" i="4"/>
  <c r="J179" i="4"/>
  <c r="J182" i="4"/>
  <c r="J184" i="4"/>
  <c r="J189" i="4"/>
  <c r="J161" i="4"/>
  <c r="J160" i="4"/>
  <c r="J165" i="4"/>
  <c r="J170" i="4"/>
  <c r="J188" i="4"/>
  <c r="J196" i="4"/>
  <c r="J192" i="4"/>
  <c r="J209" i="4"/>
  <c r="J224" i="4"/>
  <c r="J164" i="4"/>
  <c r="J180" i="4"/>
  <c r="J183" i="4"/>
  <c r="J185" i="4"/>
  <c r="J190" i="4"/>
  <c r="J211" i="4"/>
  <c r="J163" i="4"/>
  <c r="J168" i="4"/>
  <c r="J173" i="4"/>
  <c r="J187" i="4"/>
  <c r="J195" i="4"/>
  <c r="J191" i="4"/>
  <c r="J212" i="4"/>
  <c r="J208" i="4"/>
  <c r="J227" i="4"/>
  <c r="J223" i="4"/>
  <c r="J226" i="4"/>
  <c r="J222" i="4"/>
  <c r="J225" i="4"/>
  <c r="J221" i="4"/>
  <c r="J219" i="4"/>
  <c r="J215" i="4"/>
  <c r="J218" i="4"/>
  <c r="J214" i="4"/>
  <c r="J213" i="4"/>
  <c r="J217" i="4"/>
  <c r="J220" i="4"/>
  <c r="J216" i="4"/>
  <c r="J199" i="4"/>
  <c r="J204" i="4"/>
  <c r="J203" i="4"/>
  <c r="J186" i="4"/>
  <c r="J178" i="4"/>
  <c r="J177" i="4"/>
  <c r="J176" i="4"/>
  <c r="J174" i="4"/>
  <c r="J175" i="4"/>
  <c r="C159" i="4"/>
  <c r="F159" i="4"/>
  <c r="N159" i="4"/>
  <c r="O159" i="4"/>
  <c r="C155" i="4"/>
  <c r="C156" i="4"/>
  <c r="C157" i="4"/>
  <c r="C158" i="4"/>
  <c r="F155" i="4"/>
  <c r="F156" i="4"/>
  <c r="F157" i="4"/>
  <c r="F158" i="4"/>
  <c r="N155" i="4"/>
  <c r="N156" i="4"/>
  <c r="N157" i="4"/>
  <c r="N158" i="4"/>
  <c r="O155" i="4"/>
  <c r="O156" i="4"/>
  <c r="O157" i="4"/>
  <c r="O158" i="4"/>
  <c r="C154" i="4"/>
  <c r="F154" i="4"/>
  <c r="N154" i="4"/>
  <c r="O154" i="4"/>
  <c r="C149" i="4"/>
  <c r="C150" i="4"/>
  <c r="C151" i="4"/>
  <c r="C152" i="4"/>
  <c r="C153" i="4"/>
  <c r="F149" i="4"/>
  <c r="F150" i="4"/>
  <c r="F151" i="4"/>
  <c r="F152" i="4"/>
  <c r="F153" i="4"/>
  <c r="N149" i="4"/>
  <c r="N150" i="4"/>
  <c r="N151" i="4"/>
  <c r="N152" i="4"/>
  <c r="N153" i="4"/>
  <c r="O149" i="4"/>
  <c r="O150" i="4"/>
  <c r="O151" i="4"/>
  <c r="O152" i="4"/>
  <c r="O153" i="4"/>
  <c r="C148" i="4"/>
  <c r="F148" i="4"/>
  <c r="N148" i="4"/>
  <c r="O148" i="4"/>
  <c r="C143" i="4"/>
  <c r="C144" i="4"/>
  <c r="C145" i="4"/>
  <c r="C146" i="4"/>
  <c r="C147" i="4"/>
  <c r="F143" i="4"/>
  <c r="F144" i="4"/>
  <c r="F145" i="4"/>
  <c r="F146" i="4"/>
  <c r="F147" i="4"/>
  <c r="N143" i="4"/>
  <c r="N144" i="4"/>
  <c r="N145" i="4"/>
  <c r="N146" i="4"/>
  <c r="N147" i="4"/>
  <c r="O143" i="4"/>
  <c r="O144" i="4"/>
  <c r="O145" i="4"/>
  <c r="O146" i="4"/>
  <c r="O147" i="4"/>
  <c r="C142" i="4"/>
  <c r="F142" i="4"/>
  <c r="N142" i="4"/>
  <c r="O142" i="4"/>
  <c r="C137" i="4"/>
  <c r="C138" i="4"/>
  <c r="C139" i="4"/>
  <c r="C140" i="4"/>
  <c r="C141" i="4"/>
  <c r="F137" i="4"/>
  <c r="F138" i="4"/>
  <c r="F139" i="4"/>
  <c r="F140" i="4"/>
  <c r="F141" i="4"/>
  <c r="N137" i="4"/>
  <c r="N138" i="4"/>
  <c r="N139" i="4"/>
  <c r="N140" i="4"/>
  <c r="N141" i="4"/>
  <c r="O137" i="4"/>
  <c r="O138" i="4"/>
  <c r="O139" i="4"/>
  <c r="O140" i="4"/>
  <c r="O141" i="4"/>
  <c r="C136" i="4"/>
  <c r="F136" i="4"/>
  <c r="N136" i="4"/>
  <c r="O136" i="4"/>
  <c r="C135" i="4"/>
  <c r="F135" i="4"/>
  <c r="N135" i="4"/>
  <c r="O135" i="4"/>
  <c r="C134" i="4"/>
  <c r="F134" i="4"/>
  <c r="N134" i="4"/>
  <c r="O134" i="4"/>
  <c r="C133" i="4"/>
  <c r="F133" i="4"/>
  <c r="N133" i="4"/>
  <c r="O133" i="4"/>
  <c r="C132" i="4"/>
  <c r="F132" i="4"/>
  <c r="N132" i="4"/>
  <c r="O132" i="4"/>
  <c r="C131" i="4"/>
  <c r="F131" i="4"/>
  <c r="N131" i="4"/>
  <c r="O131" i="4"/>
  <c r="C130" i="4"/>
  <c r="F130" i="4"/>
  <c r="N130" i="4"/>
  <c r="O130" i="4"/>
  <c r="C129" i="4"/>
  <c r="F129" i="4"/>
  <c r="N129" i="4"/>
  <c r="O129" i="4"/>
  <c r="C128" i="4"/>
  <c r="F128" i="4"/>
  <c r="N128" i="4"/>
  <c r="O128" i="4"/>
  <c r="C127" i="4"/>
  <c r="F127" i="4"/>
  <c r="N127" i="4"/>
  <c r="O127" i="4"/>
  <c r="C126" i="4"/>
  <c r="F126" i="4"/>
  <c r="N126" i="4"/>
  <c r="O126" i="4"/>
  <c r="C125" i="4"/>
  <c r="F125" i="4"/>
  <c r="N125" i="4"/>
  <c r="O125" i="4"/>
  <c r="C124" i="4"/>
  <c r="F124" i="4"/>
  <c r="N124" i="4"/>
  <c r="O124" i="4"/>
  <c r="C123" i="4"/>
  <c r="F123" i="4"/>
  <c r="N123" i="4"/>
  <c r="O123" i="4"/>
  <c r="C122" i="4"/>
  <c r="F122" i="4"/>
  <c r="N122" i="4"/>
  <c r="O122" i="4"/>
  <c r="C121" i="4"/>
  <c r="F121" i="4"/>
  <c r="N121" i="4"/>
  <c r="O121" i="4"/>
  <c r="C120" i="4"/>
  <c r="F120" i="4"/>
  <c r="N120" i="4"/>
  <c r="O120" i="4"/>
  <c r="C119" i="4"/>
  <c r="F119" i="4"/>
  <c r="N119" i="4"/>
  <c r="O119" i="4"/>
  <c r="C118" i="4"/>
  <c r="F118" i="4"/>
  <c r="N118" i="4"/>
  <c r="O118" i="4"/>
  <c r="C117" i="4"/>
  <c r="F117" i="4"/>
  <c r="N117" i="4"/>
  <c r="O117" i="4"/>
  <c r="C116" i="4"/>
  <c r="F116" i="4"/>
  <c r="N116" i="4"/>
  <c r="O116" i="4"/>
  <c r="C115" i="4"/>
  <c r="F115" i="4"/>
  <c r="N115" i="4"/>
  <c r="O115" i="4"/>
  <c r="C114" i="4"/>
  <c r="F114" i="4"/>
  <c r="N114" i="4"/>
  <c r="O114" i="4"/>
  <c r="C113" i="4"/>
  <c r="F113" i="4"/>
  <c r="N113" i="4"/>
  <c r="O113" i="4"/>
  <c r="C112" i="4"/>
  <c r="F112" i="4"/>
  <c r="N112" i="4"/>
  <c r="O112" i="4"/>
  <c r="C111" i="4"/>
  <c r="F111" i="4"/>
  <c r="N111" i="4"/>
  <c r="O111" i="4"/>
  <c r="C110" i="4"/>
  <c r="F110" i="4"/>
  <c r="N110" i="4"/>
  <c r="O110" i="4"/>
  <c r="C109" i="4"/>
  <c r="F109" i="4"/>
  <c r="N109" i="4"/>
  <c r="O109" i="4"/>
  <c r="J144" i="4" l="1"/>
  <c r="J111" i="4"/>
  <c r="J114" i="4"/>
  <c r="J122" i="4"/>
  <c r="J125" i="4"/>
  <c r="J128" i="4"/>
  <c r="J131" i="4"/>
  <c r="J134" i="4"/>
  <c r="J142" i="4"/>
  <c r="J147" i="4"/>
  <c r="J143" i="4"/>
  <c r="J148" i="4"/>
  <c r="J153" i="4"/>
  <c r="J149" i="4"/>
  <c r="J154" i="4"/>
  <c r="J157" i="4"/>
  <c r="J159" i="4"/>
  <c r="J158" i="4"/>
  <c r="J110" i="4"/>
  <c r="J113" i="4"/>
  <c r="J116" i="4"/>
  <c r="J118" i="4"/>
  <c r="J121" i="4"/>
  <c r="J124" i="4"/>
  <c r="J127" i="4"/>
  <c r="J130" i="4"/>
  <c r="J133" i="4"/>
  <c r="J140" i="4"/>
  <c r="J146" i="4"/>
  <c r="J152" i="4"/>
  <c r="J150" i="4"/>
  <c r="J112" i="4"/>
  <c r="J115" i="4"/>
  <c r="J117" i="4"/>
  <c r="J120" i="4"/>
  <c r="J123" i="4"/>
  <c r="J126" i="4"/>
  <c r="J129" i="4"/>
  <c r="J132" i="4"/>
  <c r="J135" i="4"/>
  <c r="J139" i="4"/>
  <c r="J145" i="4"/>
  <c r="J151" i="4"/>
  <c r="J156" i="4"/>
  <c r="J155" i="4"/>
  <c r="J138" i="4"/>
  <c r="J136" i="4"/>
  <c r="J141" i="4"/>
  <c r="J137" i="4"/>
  <c r="J119" i="4"/>
  <c r="J109" i="4"/>
  <c r="C108" i="4" l="1"/>
  <c r="F108" i="4"/>
  <c r="N108" i="4"/>
  <c r="O108" i="4"/>
  <c r="C107" i="4"/>
  <c r="F107" i="4"/>
  <c r="N107" i="4"/>
  <c r="O107" i="4"/>
  <c r="C106" i="4"/>
  <c r="F106" i="4"/>
  <c r="N106" i="4"/>
  <c r="O106" i="4"/>
  <c r="C105" i="4"/>
  <c r="F105" i="4"/>
  <c r="N105" i="4"/>
  <c r="O105" i="4"/>
  <c r="C104" i="4"/>
  <c r="F104" i="4"/>
  <c r="N104" i="4"/>
  <c r="O104" i="4"/>
  <c r="C103" i="4"/>
  <c r="F103" i="4"/>
  <c r="N103" i="4"/>
  <c r="O103" i="4"/>
  <c r="C102" i="4"/>
  <c r="F102" i="4"/>
  <c r="N102" i="4"/>
  <c r="O102" i="4"/>
  <c r="C101" i="4"/>
  <c r="F101" i="4"/>
  <c r="N101" i="4"/>
  <c r="O101" i="4"/>
  <c r="C100" i="4"/>
  <c r="F100" i="4"/>
  <c r="N100" i="4"/>
  <c r="O100" i="4"/>
  <c r="C99" i="4"/>
  <c r="F99" i="4"/>
  <c r="N99" i="4"/>
  <c r="O99" i="4"/>
  <c r="C98" i="4"/>
  <c r="F98" i="4"/>
  <c r="N98" i="4"/>
  <c r="O98" i="4"/>
  <c r="C97" i="4"/>
  <c r="F97" i="4"/>
  <c r="N97" i="4"/>
  <c r="O97" i="4"/>
  <c r="C96" i="4"/>
  <c r="F96" i="4"/>
  <c r="N96" i="4"/>
  <c r="O96" i="4"/>
  <c r="C95" i="4"/>
  <c r="F95" i="4"/>
  <c r="N95" i="4"/>
  <c r="O95" i="4"/>
  <c r="C94" i="4"/>
  <c r="F94" i="4"/>
  <c r="N94" i="4"/>
  <c r="O94" i="4"/>
  <c r="C93" i="4"/>
  <c r="F93" i="4"/>
  <c r="N93" i="4"/>
  <c r="O93" i="4"/>
  <c r="C92" i="4"/>
  <c r="F92" i="4"/>
  <c r="N92" i="4"/>
  <c r="O92" i="4"/>
  <c r="C91" i="4"/>
  <c r="F91" i="4"/>
  <c r="N91" i="4"/>
  <c r="O91" i="4"/>
  <c r="C90" i="4"/>
  <c r="F90" i="4"/>
  <c r="N90" i="4"/>
  <c r="O90" i="4"/>
  <c r="C89" i="4"/>
  <c r="F89" i="4"/>
  <c r="N89" i="4"/>
  <c r="O89" i="4"/>
  <c r="C79" i="4"/>
  <c r="F79" i="4"/>
  <c r="N79" i="4"/>
  <c r="O79" i="4"/>
  <c r="C73" i="4"/>
  <c r="F73" i="4"/>
  <c r="N73" i="4"/>
  <c r="O73" i="4"/>
  <c r="C67" i="4"/>
  <c r="F67" i="4"/>
  <c r="N67" i="4"/>
  <c r="O67" i="4"/>
  <c r="C61" i="4"/>
  <c r="F61" i="4"/>
  <c r="N61" i="4"/>
  <c r="O61" i="4"/>
  <c r="C55" i="4"/>
  <c r="F55" i="4"/>
  <c r="N55" i="4"/>
  <c r="O55" i="4"/>
  <c r="C88" i="4"/>
  <c r="F88" i="4"/>
  <c r="N88" i="4"/>
  <c r="O88" i="4"/>
  <c r="C87" i="4"/>
  <c r="F87" i="4"/>
  <c r="N87" i="4"/>
  <c r="O87" i="4"/>
  <c r="C86" i="4"/>
  <c r="F86" i="4"/>
  <c r="N86" i="4"/>
  <c r="O86" i="4"/>
  <c r="C85" i="4"/>
  <c r="F85" i="4"/>
  <c r="N85" i="4"/>
  <c r="O85" i="4"/>
  <c r="C84" i="4"/>
  <c r="F84" i="4"/>
  <c r="N84" i="4"/>
  <c r="O84" i="4"/>
  <c r="J84" i="4" l="1"/>
  <c r="J61" i="4"/>
  <c r="J79" i="4"/>
  <c r="J89" i="4"/>
  <c r="J102" i="4"/>
  <c r="J103" i="4"/>
  <c r="J106" i="4"/>
  <c r="J107" i="4"/>
  <c r="J108" i="4"/>
  <c r="J86" i="4"/>
  <c r="J88" i="4"/>
  <c r="J96" i="4"/>
  <c r="J98" i="4"/>
  <c r="J101" i="4"/>
  <c r="J105" i="4"/>
  <c r="J85" i="4"/>
  <c r="J87" i="4"/>
  <c r="J100" i="4"/>
  <c r="J104" i="4"/>
  <c r="J95" i="4"/>
  <c r="J97" i="4"/>
  <c r="J99" i="4"/>
  <c r="J90" i="4"/>
  <c r="J93" i="4"/>
  <c r="J94" i="4"/>
  <c r="J91" i="4"/>
  <c r="J92" i="4"/>
  <c r="J55" i="4"/>
  <c r="J67" i="4"/>
  <c r="J73" i="4"/>
  <c r="C83" i="4"/>
  <c r="F83" i="4"/>
  <c r="N83" i="4"/>
  <c r="O83" i="4"/>
  <c r="C82" i="4"/>
  <c r="F82" i="4"/>
  <c r="N82" i="4"/>
  <c r="O82" i="4"/>
  <c r="C81" i="4"/>
  <c r="F81" i="4"/>
  <c r="N81" i="4"/>
  <c r="O81" i="4"/>
  <c r="C80" i="4"/>
  <c r="F80" i="4"/>
  <c r="N80" i="4"/>
  <c r="O80" i="4"/>
  <c r="C78" i="4"/>
  <c r="F78" i="4"/>
  <c r="N78" i="4"/>
  <c r="O78" i="4"/>
  <c r="J82" i="4" l="1"/>
  <c r="J83" i="4"/>
  <c r="J80" i="4"/>
  <c r="J81" i="4"/>
  <c r="J78" i="4"/>
  <c r="C77" i="4" l="1"/>
  <c r="F77" i="4"/>
  <c r="N77" i="4"/>
  <c r="O77" i="4"/>
  <c r="C76" i="4"/>
  <c r="F76" i="4"/>
  <c r="N76" i="4"/>
  <c r="O76" i="4"/>
  <c r="C75" i="4"/>
  <c r="F75" i="4"/>
  <c r="N75" i="4"/>
  <c r="O75" i="4"/>
  <c r="C74" i="4"/>
  <c r="F74" i="4"/>
  <c r="N74" i="4"/>
  <c r="O74" i="4"/>
  <c r="J74" i="4" l="1"/>
  <c r="J77" i="4"/>
  <c r="J75" i="4"/>
  <c r="J76" i="4"/>
  <c r="C72" i="4"/>
  <c r="F72" i="4"/>
  <c r="N72" i="4"/>
  <c r="O72" i="4"/>
  <c r="C71" i="4"/>
  <c r="F71" i="4"/>
  <c r="N71" i="4"/>
  <c r="O71" i="4"/>
  <c r="C70" i="4"/>
  <c r="F70" i="4"/>
  <c r="N70" i="4"/>
  <c r="O70" i="4"/>
  <c r="C69" i="4"/>
  <c r="F69" i="4"/>
  <c r="N69" i="4"/>
  <c r="O69" i="4"/>
  <c r="C68" i="4"/>
  <c r="F68" i="4"/>
  <c r="N68" i="4"/>
  <c r="O68" i="4"/>
  <c r="C66" i="4"/>
  <c r="F66" i="4"/>
  <c r="N66" i="4"/>
  <c r="O66" i="4"/>
  <c r="C65" i="4"/>
  <c r="F65" i="4"/>
  <c r="N65" i="4"/>
  <c r="O65" i="4"/>
  <c r="C64" i="4"/>
  <c r="F64" i="4"/>
  <c r="N64" i="4"/>
  <c r="O64" i="4"/>
  <c r="C63" i="4"/>
  <c r="F63" i="4"/>
  <c r="N63" i="4"/>
  <c r="O63" i="4"/>
  <c r="C62" i="4"/>
  <c r="F62" i="4"/>
  <c r="N62" i="4"/>
  <c r="O62" i="4"/>
  <c r="C60" i="4"/>
  <c r="F60" i="4"/>
  <c r="N60" i="4"/>
  <c r="O60" i="4"/>
  <c r="C59" i="4"/>
  <c r="F59" i="4"/>
  <c r="N59" i="4"/>
  <c r="O59" i="4"/>
  <c r="C58" i="4"/>
  <c r="F58" i="4"/>
  <c r="N58" i="4"/>
  <c r="O58" i="4"/>
  <c r="C57" i="4"/>
  <c r="F57" i="4"/>
  <c r="N57" i="4"/>
  <c r="O57" i="4"/>
  <c r="C56" i="4"/>
  <c r="F56" i="4"/>
  <c r="N56" i="4"/>
  <c r="O56" i="4"/>
  <c r="C54" i="4"/>
  <c r="F54" i="4"/>
  <c r="N54" i="4"/>
  <c r="O54" i="4"/>
  <c r="D16" i="7"/>
  <c r="E16" i="7"/>
  <c r="C53" i="4"/>
  <c r="F53" i="4"/>
  <c r="N53" i="4"/>
  <c r="O53" i="4"/>
  <c r="C52" i="4"/>
  <c r="F52" i="4"/>
  <c r="N52" i="4"/>
  <c r="O52" i="4"/>
  <c r="C51" i="4"/>
  <c r="F51" i="4"/>
  <c r="N51" i="4"/>
  <c r="O51" i="4"/>
  <c r="C50" i="4"/>
  <c r="F50" i="4"/>
  <c r="N50" i="4"/>
  <c r="O50" i="4"/>
  <c r="C49" i="4"/>
  <c r="F49" i="4"/>
  <c r="N49" i="4"/>
  <c r="J49" i="4" s="1"/>
  <c r="O49" i="4"/>
  <c r="C48" i="4"/>
  <c r="F48" i="4"/>
  <c r="N48" i="4"/>
  <c r="O48" i="4"/>
  <c r="C45" i="4"/>
  <c r="F45" i="4"/>
  <c r="N45" i="4"/>
  <c r="O45" i="4"/>
  <c r="C44" i="4"/>
  <c r="F44" i="4"/>
  <c r="N44" i="4"/>
  <c r="O44" i="4"/>
  <c r="C43" i="4"/>
  <c r="F43" i="4"/>
  <c r="N43" i="4"/>
  <c r="O43" i="4"/>
  <c r="C47" i="4"/>
  <c r="F47" i="4"/>
  <c r="N47" i="4"/>
  <c r="O47" i="4"/>
  <c r="C41" i="4"/>
  <c r="F41" i="4"/>
  <c r="N41" i="4"/>
  <c r="O41" i="4"/>
  <c r="C42" i="4"/>
  <c r="F42" i="4"/>
  <c r="N42" i="4"/>
  <c r="O42" i="4"/>
  <c r="C46" i="4"/>
  <c r="F46" i="4"/>
  <c r="N46" i="4"/>
  <c r="O46" i="4"/>
  <c r="C40" i="4"/>
  <c r="F40" i="4"/>
  <c r="N40" i="4"/>
  <c r="O40" i="4"/>
  <c r="C39" i="4"/>
  <c r="F39" i="4"/>
  <c r="N39" i="4"/>
  <c r="O39" i="4"/>
  <c r="C38" i="4"/>
  <c r="F38" i="4"/>
  <c r="N38" i="4"/>
  <c r="O38" i="4"/>
  <c r="F2" i="4"/>
  <c r="F3" i="4"/>
  <c r="F4" i="4"/>
  <c r="F5" i="4"/>
  <c r="F6" i="4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C6" i="8"/>
  <c r="C6" i="4"/>
  <c r="C7" i="4"/>
  <c r="N6" i="4"/>
  <c r="N7" i="4"/>
  <c r="O6" i="4"/>
  <c r="O7" i="4"/>
  <c r="C5" i="4"/>
  <c r="O5" i="4"/>
  <c r="C11" i="4"/>
  <c r="C12" i="4"/>
  <c r="C8" i="4"/>
  <c r="C2" i="4"/>
  <c r="C3" i="4"/>
  <c r="N2" i="4"/>
  <c r="O11" i="4"/>
  <c r="O12" i="4"/>
  <c r="O8" i="4"/>
  <c r="O2" i="4"/>
  <c r="O3" i="4"/>
  <c r="C31" i="4"/>
  <c r="C32" i="4"/>
  <c r="C33" i="4"/>
  <c r="C34" i="4"/>
  <c r="C35" i="4"/>
  <c r="C36" i="4"/>
  <c r="C37" i="4"/>
  <c r="C4" i="4"/>
  <c r="O31" i="4"/>
  <c r="O32" i="4"/>
  <c r="O33" i="4"/>
  <c r="O34" i="4"/>
  <c r="O35" i="4"/>
  <c r="O36" i="4"/>
  <c r="O37" i="4"/>
  <c r="O4" i="4"/>
  <c r="C26" i="4"/>
  <c r="C27" i="4"/>
  <c r="C28" i="4"/>
  <c r="C29" i="4"/>
  <c r="C30" i="4"/>
  <c r="O26" i="4"/>
  <c r="O27" i="4"/>
  <c r="O28" i="4"/>
  <c r="O29" i="4"/>
  <c r="O30" i="4"/>
  <c r="C21" i="4"/>
  <c r="C19" i="4"/>
  <c r="C20" i="4"/>
  <c r="C25" i="4"/>
  <c r="O19" i="4"/>
  <c r="O20" i="4"/>
  <c r="O21" i="4"/>
  <c r="O25" i="4"/>
  <c r="C15" i="4"/>
  <c r="C16" i="4"/>
  <c r="C17" i="4"/>
  <c r="C18" i="4"/>
  <c r="O15" i="4"/>
  <c r="O16" i="4"/>
  <c r="O17" i="4"/>
  <c r="O18" i="4"/>
  <c r="J46" i="4" l="1"/>
  <c r="J56" i="4"/>
  <c r="J57" i="4"/>
  <c r="J59" i="4"/>
  <c r="J60" i="4"/>
  <c r="J63" i="4"/>
  <c r="J64" i="4"/>
  <c r="J65" i="4"/>
  <c r="J66" i="4"/>
  <c r="J68" i="4"/>
  <c r="J69" i="4"/>
  <c r="J70" i="4"/>
  <c r="J71" i="4"/>
  <c r="J72" i="4"/>
  <c r="J2" i="4"/>
  <c r="J40" i="4"/>
  <c r="J7" i="4"/>
  <c r="J54" i="4"/>
  <c r="J58" i="4"/>
  <c r="J62" i="4"/>
  <c r="J6" i="4"/>
  <c r="J38" i="4"/>
  <c r="J39" i="4"/>
  <c r="J42" i="4"/>
  <c r="J41" i="4"/>
  <c r="J47" i="4"/>
  <c r="J43" i="4"/>
  <c r="J44" i="4"/>
  <c r="J45" i="4"/>
  <c r="J48" i="4"/>
  <c r="J50" i="4"/>
  <c r="J51" i="4"/>
  <c r="J52" i="4"/>
  <c r="J53" i="4"/>
  <c r="N3" i="4"/>
  <c r="C24" i="4"/>
  <c r="O24" i="4"/>
  <c r="C23" i="4"/>
  <c r="O23" i="4"/>
  <c r="C22" i="4"/>
  <c r="O22" i="4"/>
  <c r="C14" i="4"/>
  <c r="O14" i="4"/>
  <c r="C10" i="4"/>
  <c r="O10" i="4"/>
  <c r="C13" i="4"/>
  <c r="O13" i="4"/>
  <c r="C9" i="4"/>
  <c r="O9" i="4"/>
  <c r="J3" i="4" l="1"/>
  <c r="N8" i="4"/>
  <c r="D12" i="8"/>
  <c r="J8" i="4" l="1"/>
  <c r="N10" i="4"/>
  <c r="N9" i="4"/>
  <c r="J10" i="4" l="1"/>
  <c r="J9" i="4"/>
  <c r="N11" i="4"/>
  <c r="N12" i="4"/>
  <c r="C3" i="5"/>
  <c r="C4" i="5"/>
  <c r="C5" i="5"/>
  <c r="C8" i="5"/>
  <c r="C10" i="5"/>
  <c r="C12" i="5"/>
  <c r="C13" i="5"/>
  <c r="C15" i="5"/>
  <c r="C16" i="5"/>
  <c r="C17" i="5"/>
  <c r="C18" i="5"/>
  <c r="C19" i="5"/>
  <c r="C20" i="5"/>
  <c r="C21" i="5"/>
  <c r="C22" i="5"/>
  <c r="C23" i="5"/>
  <c r="C24" i="5"/>
  <c r="C25" i="5"/>
  <c r="C26" i="5"/>
  <c r="C27" i="5"/>
  <c r="C28" i="5"/>
  <c r="C29" i="5"/>
  <c r="C30" i="5"/>
  <c r="C31" i="5"/>
  <c r="C32" i="5"/>
  <c r="C33" i="5"/>
  <c r="C34" i="5"/>
  <c r="C35" i="5"/>
  <c r="C36" i="5"/>
  <c r="C37" i="5"/>
  <c r="C38" i="5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C66" i="5"/>
  <c r="C67" i="5"/>
  <c r="C68" i="5"/>
  <c r="C69" i="5"/>
  <c r="C70" i="5"/>
  <c r="C71" i="5"/>
  <c r="C72" i="5"/>
  <c r="C73" i="5"/>
  <c r="C74" i="5"/>
  <c r="C75" i="5"/>
  <c r="C76" i="5"/>
  <c r="C77" i="5"/>
  <c r="C78" i="5"/>
  <c r="C79" i="5"/>
  <c r="C80" i="5"/>
  <c r="C81" i="5"/>
  <c r="C82" i="5"/>
  <c r="C83" i="5"/>
  <c r="C84" i="5"/>
  <c r="C85" i="5"/>
  <c r="C86" i="5"/>
  <c r="C6" i="5"/>
  <c r="C7" i="5"/>
  <c r="C9" i="5"/>
  <c r="C11" i="5"/>
  <c r="C14" i="5"/>
  <c r="A14" i="5"/>
  <c r="A21" i="5"/>
  <c r="A22" i="5"/>
  <c r="A23" i="5"/>
  <c r="A24" i="5"/>
  <c r="A25" i="5"/>
  <c r="A27" i="5"/>
  <c r="A30" i="5"/>
  <c r="A31" i="5"/>
  <c r="A32" i="5"/>
  <c r="A33" i="5"/>
  <c r="A34" i="5"/>
  <c r="A35" i="5"/>
  <c r="A38" i="5"/>
  <c r="A39" i="5"/>
  <c r="A40" i="5"/>
  <c r="A42" i="5"/>
  <c r="A43" i="5"/>
  <c r="A45" i="5"/>
  <c r="A47" i="5"/>
  <c r="A48" i="5"/>
  <c r="A49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1" i="5"/>
  <c r="A72" i="5"/>
  <c r="A73" i="5"/>
  <c r="A75" i="5"/>
  <c r="A76" i="5"/>
  <c r="A78" i="5"/>
  <c r="A80" i="5"/>
  <c r="A81" i="5"/>
  <c r="A82" i="5"/>
  <c r="A83" i="5"/>
  <c r="A84" i="5"/>
  <c r="A86" i="5"/>
  <c r="J11" i="4" l="1"/>
  <c r="J12" i="4"/>
  <c r="N13" i="4"/>
  <c r="H10" i="8"/>
  <c r="A18" i="5"/>
  <c r="A17" i="5"/>
  <c r="A16" i="5"/>
  <c r="J13" i="4" l="1"/>
  <c r="N16" i="4"/>
  <c r="N15" i="4"/>
  <c r="N14" i="4"/>
  <c r="A3" i="5"/>
  <c r="A4" i="5"/>
  <c r="A5" i="5"/>
  <c r="A8" i="5"/>
  <c r="A10" i="5"/>
  <c r="A12" i="5"/>
  <c r="A13" i="5"/>
  <c r="A15" i="5"/>
  <c r="A19" i="5"/>
  <c r="A20" i="5"/>
  <c r="A26" i="5"/>
  <c r="A28" i="5"/>
  <c r="A29" i="5"/>
  <c r="A36" i="5"/>
  <c r="A37" i="5"/>
  <c r="A41" i="5"/>
  <c r="A44" i="5"/>
  <c r="A50" i="5"/>
  <c r="A46" i="5"/>
  <c r="A70" i="5"/>
  <c r="A74" i="5"/>
  <c r="A77" i="5"/>
  <c r="A79" i="5"/>
  <c r="A85" i="5"/>
  <c r="D11" i="8"/>
  <c r="D16" i="8"/>
  <c r="D20" i="7"/>
  <c r="G2" i="10"/>
  <c r="I2" i="10" s="1"/>
  <c r="E8" i="9"/>
  <c r="E9" i="9" s="1"/>
  <c r="E10" i="9" s="1"/>
  <c r="P2" i="9"/>
  <c r="J2" i="9"/>
  <c r="H15" i="9" s="1"/>
  <c r="J1" i="9"/>
  <c r="H15" i="8"/>
  <c r="I11" i="8"/>
  <c r="G9" i="8"/>
  <c r="O4" i="7"/>
  <c r="Q4" i="7"/>
  <c r="P4" i="7"/>
  <c r="F6" i="7"/>
  <c r="C6" i="7"/>
  <c r="F5" i="7"/>
  <c r="L39" i="6"/>
  <c r="L38" i="6"/>
  <c r="L37" i="6"/>
  <c r="L36" i="6"/>
  <c r="L35" i="6"/>
  <c r="L34" i="6"/>
  <c r="L33" i="6"/>
  <c r="L32" i="6"/>
  <c r="L31" i="6"/>
  <c r="L30" i="6"/>
  <c r="L29" i="6"/>
  <c r="L28" i="6"/>
  <c r="L27" i="6"/>
  <c r="L26" i="6"/>
  <c r="L25" i="6"/>
  <c r="L24" i="6"/>
  <c r="L23" i="6"/>
  <c r="L22" i="6"/>
  <c r="L21" i="6"/>
  <c r="L20" i="6"/>
  <c r="L19" i="6"/>
  <c r="L18" i="6"/>
  <c r="L17" i="6"/>
  <c r="L16" i="6"/>
  <c r="L15" i="6"/>
  <c r="L14" i="6"/>
  <c r="L13" i="6"/>
  <c r="L12" i="6"/>
  <c r="L11" i="6"/>
  <c r="L10" i="6"/>
  <c r="L9" i="6"/>
  <c r="B3" i="6"/>
  <c r="E20" i="7"/>
  <c r="C20" i="7"/>
  <c r="M309" i="4" l="1"/>
  <c r="M310" i="4"/>
  <c r="M311" i="4"/>
  <c r="I309" i="4"/>
  <c r="K309" i="4" s="1"/>
  <c r="I310" i="4"/>
  <c r="L310" i="4" s="1"/>
  <c r="I311" i="4"/>
  <c r="P311" i="4" s="1"/>
  <c r="P310" i="4"/>
  <c r="M308" i="4"/>
  <c r="I308" i="4"/>
  <c r="L308" i="4" s="1"/>
  <c r="M306" i="4"/>
  <c r="M307" i="4"/>
  <c r="I307" i="4"/>
  <c r="K307" i="4" s="1"/>
  <c r="I306" i="4"/>
  <c r="K306" i="4" s="1"/>
  <c r="M305" i="4"/>
  <c r="M299" i="4"/>
  <c r="M304" i="4"/>
  <c r="P299" i="4"/>
  <c r="I299" i="4"/>
  <c r="L299" i="4" s="1"/>
  <c r="M302" i="4"/>
  <c r="M303" i="4"/>
  <c r="I305" i="4"/>
  <c r="L305" i="4" s="1"/>
  <c r="I302" i="4"/>
  <c r="K302" i="4" s="1"/>
  <c r="I304" i="4"/>
  <c r="I303" i="4"/>
  <c r="K303" i="4" s="1"/>
  <c r="M300" i="4"/>
  <c r="M301" i="4"/>
  <c r="I301" i="4"/>
  <c r="P301" i="4" s="1"/>
  <c r="I300" i="4"/>
  <c r="L300" i="4" s="1"/>
  <c r="P2" i="4"/>
  <c r="P6" i="4"/>
  <c r="P10" i="4"/>
  <c r="P14" i="4"/>
  <c r="P38" i="4"/>
  <c r="P46" i="4"/>
  <c r="P50" i="4"/>
  <c r="P54" i="4"/>
  <c r="P58" i="4"/>
  <c r="P62" i="4"/>
  <c r="P70" i="4"/>
  <c r="P82" i="4"/>
  <c r="P122" i="4"/>
  <c r="P178" i="4"/>
  <c r="P234" i="4"/>
  <c r="P262" i="4"/>
  <c r="P298" i="4"/>
  <c r="P3" i="4"/>
  <c r="P7" i="4"/>
  <c r="P11" i="4"/>
  <c r="P47" i="4"/>
  <c r="P51" i="4"/>
  <c r="P63" i="4"/>
  <c r="P71" i="4"/>
  <c r="P83" i="4"/>
  <c r="P123" i="4"/>
  <c r="P179" i="4"/>
  <c r="P195" i="4"/>
  <c r="P235" i="4"/>
  <c r="P263" i="4"/>
  <c r="P275" i="4"/>
  <c r="P279" i="4"/>
  <c r="L49" i="4"/>
  <c r="P8" i="4"/>
  <c r="P48" i="4"/>
  <c r="P56" i="4"/>
  <c r="P64" i="4"/>
  <c r="P68" i="4"/>
  <c r="P80" i="4"/>
  <c r="P156" i="4"/>
  <c r="P176" i="4"/>
  <c r="P180" i="4"/>
  <c r="P264" i="4"/>
  <c r="P276" i="4"/>
  <c r="P280" i="4"/>
  <c r="P9" i="4"/>
  <c r="P13" i="4"/>
  <c r="P49" i="4"/>
  <c r="P177" i="4"/>
  <c r="P53" i="4"/>
  <c r="P69" i="4"/>
  <c r="P245" i="4"/>
  <c r="P57" i="4"/>
  <c r="P217" i="4"/>
  <c r="P233" i="4"/>
  <c r="J16" i="4"/>
  <c r="J15" i="4"/>
  <c r="J14" i="4"/>
  <c r="M296" i="4"/>
  <c r="M290" i="4"/>
  <c r="M298" i="4"/>
  <c r="M289" i="4"/>
  <c r="M293" i="4"/>
  <c r="M297" i="4"/>
  <c r="M291" i="4"/>
  <c r="M295" i="4"/>
  <c r="M294" i="4"/>
  <c r="M292" i="4"/>
  <c r="I296" i="4"/>
  <c r="P296" i="4" s="1"/>
  <c r="I298" i="4"/>
  <c r="I294" i="4"/>
  <c r="P294" i="4" s="1"/>
  <c r="I295" i="4"/>
  <c r="P295" i="4" s="1"/>
  <c r="I297" i="4"/>
  <c r="P297" i="4" s="1"/>
  <c r="I293" i="4"/>
  <c r="P293" i="4" s="1"/>
  <c r="M287" i="4"/>
  <c r="M281" i="4"/>
  <c r="M288" i="4"/>
  <c r="M282" i="4"/>
  <c r="M283" i="4"/>
  <c r="M286" i="4"/>
  <c r="M285" i="4"/>
  <c r="M284" i="4"/>
  <c r="I286" i="4"/>
  <c r="P286" i="4" s="1"/>
  <c r="I292" i="4"/>
  <c r="P292" i="4" s="1"/>
  <c r="I287" i="4"/>
  <c r="P287" i="4" s="1"/>
  <c r="I291" i="4"/>
  <c r="P291" i="4" s="1"/>
  <c r="I289" i="4"/>
  <c r="P289" i="4" s="1"/>
  <c r="I288" i="4"/>
  <c r="P288" i="4" s="1"/>
  <c r="I290" i="4"/>
  <c r="P290" i="4" s="1"/>
  <c r="I285" i="4"/>
  <c r="P285" i="4" s="1"/>
  <c r="I283" i="4"/>
  <c r="P283" i="4" s="1"/>
  <c r="I281" i="4"/>
  <c r="P281" i="4" s="1"/>
  <c r="I284" i="4"/>
  <c r="P284" i="4" s="1"/>
  <c r="I282" i="4"/>
  <c r="P282" i="4" s="1"/>
  <c r="M279" i="4"/>
  <c r="M280" i="4"/>
  <c r="I280" i="4"/>
  <c r="I279" i="4"/>
  <c r="M277" i="4"/>
  <c r="M278" i="4"/>
  <c r="I277" i="4"/>
  <c r="L277" i="4" s="1"/>
  <c r="I278" i="4"/>
  <c r="P278" i="4" s="1"/>
  <c r="M275" i="4"/>
  <c r="M276" i="4"/>
  <c r="I276" i="4"/>
  <c r="I275" i="4"/>
  <c r="M271" i="4"/>
  <c r="M272" i="4"/>
  <c r="M273" i="4"/>
  <c r="M274" i="4"/>
  <c r="I274" i="4"/>
  <c r="P274" i="4" s="1"/>
  <c r="I272" i="4"/>
  <c r="P272" i="4" s="1"/>
  <c r="I273" i="4"/>
  <c r="P273" i="4" s="1"/>
  <c r="I271" i="4"/>
  <c r="P271" i="4" s="1"/>
  <c r="M268" i="4"/>
  <c r="M269" i="4"/>
  <c r="M267" i="4"/>
  <c r="M270" i="4"/>
  <c r="I268" i="4"/>
  <c r="P268" i="4" s="1"/>
  <c r="I267" i="4"/>
  <c r="P267" i="4" s="1"/>
  <c r="I270" i="4"/>
  <c r="P270" i="4" s="1"/>
  <c r="I269" i="4"/>
  <c r="P269" i="4" s="1"/>
  <c r="M266" i="4"/>
  <c r="M265" i="4"/>
  <c r="I266" i="4"/>
  <c r="P266" i="4" s="1"/>
  <c r="I265" i="4"/>
  <c r="P265" i="4" s="1"/>
  <c r="M264" i="4"/>
  <c r="M262" i="4"/>
  <c r="M263" i="4"/>
  <c r="M259" i="4"/>
  <c r="M260" i="4"/>
  <c r="M261" i="4"/>
  <c r="I259" i="4"/>
  <c r="P259" i="4" s="1"/>
  <c r="I263" i="4"/>
  <c r="I262" i="4"/>
  <c r="I261" i="4"/>
  <c r="P261" i="4" s="1"/>
  <c r="I264" i="4"/>
  <c r="I260" i="4"/>
  <c r="P260" i="4" s="1"/>
  <c r="M257" i="4"/>
  <c r="M258" i="4"/>
  <c r="M256" i="4"/>
  <c r="M254" i="4"/>
  <c r="M255" i="4"/>
  <c r="M253" i="4"/>
  <c r="I254" i="4"/>
  <c r="P254" i="4" s="1"/>
  <c r="I253" i="4"/>
  <c r="P253" i="4" s="1"/>
  <c r="I257" i="4"/>
  <c r="P257" i="4" s="1"/>
  <c r="I256" i="4"/>
  <c r="P256" i="4" s="1"/>
  <c r="I255" i="4"/>
  <c r="P255" i="4" s="1"/>
  <c r="I258" i="4"/>
  <c r="P258" i="4" s="1"/>
  <c r="M252" i="4"/>
  <c r="I252" i="4"/>
  <c r="P252" i="4" s="1"/>
  <c r="M250" i="4"/>
  <c r="M251" i="4"/>
  <c r="M249" i="4"/>
  <c r="I250" i="4"/>
  <c r="P250" i="4" s="1"/>
  <c r="I249" i="4"/>
  <c r="P249" i="4" s="1"/>
  <c r="I251" i="4"/>
  <c r="P251" i="4" s="1"/>
  <c r="M248" i="4"/>
  <c r="M246" i="4"/>
  <c r="M247" i="4"/>
  <c r="I248" i="4"/>
  <c r="P248" i="4" s="1"/>
  <c r="I247" i="4"/>
  <c r="P247" i="4" s="1"/>
  <c r="I246" i="4"/>
  <c r="P246" i="4" s="1"/>
  <c r="M244" i="4"/>
  <c r="I245" i="4"/>
  <c r="L245" i="4" s="1"/>
  <c r="I244" i="4"/>
  <c r="P244" i="4" s="1"/>
  <c r="M240" i="4"/>
  <c r="M238" i="4"/>
  <c r="M237" i="4"/>
  <c r="M241" i="4"/>
  <c r="M236" i="4"/>
  <c r="M242" i="4"/>
  <c r="M239" i="4"/>
  <c r="M243" i="4"/>
  <c r="I243" i="4"/>
  <c r="P243" i="4" s="1"/>
  <c r="I237" i="4"/>
  <c r="P237" i="4" s="1"/>
  <c r="I242" i="4"/>
  <c r="P242" i="4" s="1"/>
  <c r="I239" i="4"/>
  <c r="P239" i="4" s="1"/>
  <c r="I238" i="4"/>
  <c r="P238" i="4" s="1"/>
  <c r="I240" i="4"/>
  <c r="P240" i="4" s="1"/>
  <c r="I241" i="4"/>
  <c r="P241" i="4" s="1"/>
  <c r="I236" i="4"/>
  <c r="P236" i="4" s="1"/>
  <c r="M229" i="4"/>
  <c r="M232" i="4"/>
  <c r="M230" i="4"/>
  <c r="M228" i="4"/>
  <c r="M231" i="4"/>
  <c r="I235" i="4"/>
  <c r="I231" i="4"/>
  <c r="P231" i="4" s="1"/>
  <c r="I234" i="4"/>
  <c r="I230" i="4"/>
  <c r="P230" i="4" s="1"/>
  <c r="I233" i="4"/>
  <c r="I229" i="4"/>
  <c r="P229" i="4" s="1"/>
  <c r="I232" i="4"/>
  <c r="P232" i="4" s="1"/>
  <c r="I228" i="4"/>
  <c r="P228" i="4" s="1"/>
  <c r="M222" i="4"/>
  <c r="M226" i="4"/>
  <c r="M221" i="4"/>
  <c r="M225" i="4"/>
  <c r="M223" i="4"/>
  <c r="M227" i="4"/>
  <c r="M224" i="4"/>
  <c r="I226" i="4"/>
  <c r="P226" i="4" s="1"/>
  <c r="I222" i="4"/>
  <c r="P222" i="4" s="1"/>
  <c r="I223" i="4"/>
  <c r="P223" i="4" s="1"/>
  <c r="I225" i="4"/>
  <c r="P225" i="4" s="1"/>
  <c r="I227" i="4"/>
  <c r="P227" i="4" s="1"/>
  <c r="I221" i="4"/>
  <c r="P221" i="4" s="1"/>
  <c r="I224" i="4"/>
  <c r="P224" i="4" s="1"/>
  <c r="M215" i="4"/>
  <c r="M219" i="4"/>
  <c r="M216" i="4"/>
  <c r="M220" i="4"/>
  <c r="M209" i="4"/>
  <c r="M217" i="4"/>
  <c r="M213" i="4"/>
  <c r="M206" i="4"/>
  <c r="M210" i="4"/>
  <c r="M205" i="4"/>
  <c r="M208" i="4"/>
  <c r="M214" i="4"/>
  <c r="M218" i="4"/>
  <c r="M207" i="4"/>
  <c r="M211" i="4"/>
  <c r="M212" i="4"/>
  <c r="I215" i="4"/>
  <c r="P215" i="4" s="1"/>
  <c r="I213" i="4"/>
  <c r="P213" i="4" s="1"/>
  <c r="I219" i="4"/>
  <c r="P219" i="4" s="1"/>
  <c r="I220" i="4"/>
  <c r="P220" i="4" s="1"/>
  <c r="I216" i="4"/>
  <c r="P216" i="4" s="1"/>
  <c r="I214" i="4"/>
  <c r="P214" i="4" s="1"/>
  <c r="I217" i="4"/>
  <c r="I218" i="4"/>
  <c r="P218" i="4" s="1"/>
  <c r="I210" i="4"/>
  <c r="P210" i="4" s="1"/>
  <c r="I209" i="4"/>
  <c r="P209" i="4" s="1"/>
  <c r="I207" i="4"/>
  <c r="P207" i="4" s="1"/>
  <c r="I205" i="4"/>
  <c r="P205" i="4" s="1"/>
  <c r="I206" i="4"/>
  <c r="P206" i="4" s="1"/>
  <c r="I211" i="4"/>
  <c r="P211" i="4" s="1"/>
  <c r="I212" i="4"/>
  <c r="P212" i="4" s="1"/>
  <c r="I208" i="4"/>
  <c r="P208" i="4" s="1"/>
  <c r="M202" i="4"/>
  <c r="M200" i="4"/>
  <c r="M198" i="4"/>
  <c r="M203" i="4"/>
  <c r="M201" i="4"/>
  <c r="M199" i="4"/>
  <c r="M197" i="4"/>
  <c r="M204" i="4"/>
  <c r="I202" i="4"/>
  <c r="P202" i="4" s="1"/>
  <c r="I198" i="4"/>
  <c r="P198" i="4" s="1"/>
  <c r="I204" i="4"/>
  <c r="P204" i="4" s="1"/>
  <c r="I203" i="4"/>
  <c r="P203" i="4" s="1"/>
  <c r="I201" i="4"/>
  <c r="P201" i="4" s="1"/>
  <c r="I197" i="4"/>
  <c r="P197" i="4" s="1"/>
  <c r="I200" i="4"/>
  <c r="P200" i="4" s="1"/>
  <c r="I199" i="4"/>
  <c r="P199" i="4" s="1"/>
  <c r="M193" i="4"/>
  <c r="M192" i="4"/>
  <c r="M190" i="4"/>
  <c r="M194" i="4"/>
  <c r="M189" i="4"/>
  <c r="M191" i="4"/>
  <c r="M196" i="4"/>
  <c r="M186" i="4"/>
  <c r="M185" i="4"/>
  <c r="M183" i="4"/>
  <c r="M181" i="4"/>
  <c r="M187" i="4"/>
  <c r="M188" i="4"/>
  <c r="M184" i="4"/>
  <c r="M182" i="4"/>
  <c r="I196" i="4"/>
  <c r="P196" i="4" s="1"/>
  <c r="I186" i="4"/>
  <c r="P186" i="4" s="1"/>
  <c r="I194" i="4"/>
  <c r="P194" i="4" s="1"/>
  <c r="I187" i="4"/>
  <c r="P187" i="4" s="1"/>
  <c r="I192" i="4"/>
  <c r="P192" i="4" s="1"/>
  <c r="I188" i="4"/>
  <c r="P188" i="4" s="1"/>
  <c r="I190" i="4"/>
  <c r="P190" i="4" s="1"/>
  <c r="I193" i="4"/>
  <c r="P193" i="4" s="1"/>
  <c r="I195" i="4"/>
  <c r="I191" i="4"/>
  <c r="P191" i="4" s="1"/>
  <c r="I189" i="4"/>
  <c r="P189" i="4" s="1"/>
  <c r="I182" i="4"/>
  <c r="P182" i="4" s="1"/>
  <c r="I185" i="4"/>
  <c r="P185" i="4" s="1"/>
  <c r="I181" i="4"/>
  <c r="P181" i="4" s="1"/>
  <c r="I184" i="4"/>
  <c r="P184" i="4" s="1"/>
  <c r="I183" i="4"/>
  <c r="P183" i="4" s="1"/>
  <c r="M180" i="4"/>
  <c r="M179" i="4"/>
  <c r="I179" i="4"/>
  <c r="I180" i="4"/>
  <c r="M175" i="4"/>
  <c r="M178" i="4"/>
  <c r="M176" i="4"/>
  <c r="M174" i="4"/>
  <c r="M177" i="4"/>
  <c r="I178" i="4"/>
  <c r="I175" i="4"/>
  <c r="P175" i="4" s="1"/>
  <c r="I174" i="4"/>
  <c r="P174" i="4" s="1"/>
  <c r="I176" i="4"/>
  <c r="I177" i="4"/>
  <c r="M170" i="4"/>
  <c r="M169" i="4"/>
  <c r="M171" i="4"/>
  <c r="M172" i="4"/>
  <c r="M173" i="4"/>
  <c r="M165" i="4"/>
  <c r="M160" i="4"/>
  <c r="M163" i="4"/>
  <c r="M166" i="4"/>
  <c r="M164" i="4"/>
  <c r="M161" i="4"/>
  <c r="M167" i="4"/>
  <c r="M162" i="4"/>
  <c r="M168" i="4"/>
  <c r="I173" i="4"/>
  <c r="P173" i="4" s="1"/>
  <c r="I165" i="4"/>
  <c r="P165" i="4" s="1"/>
  <c r="I167" i="4"/>
  <c r="P167" i="4" s="1"/>
  <c r="I166" i="4"/>
  <c r="P166" i="4" s="1"/>
  <c r="I170" i="4"/>
  <c r="P170" i="4" s="1"/>
  <c r="M159" i="4"/>
  <c r="I172" i="4"/>
  <c r="P172" i="4" s="1"/>
  <c r="I164" i="4"/>
  <c r="P164" i="4" s="1"/>
  <c r="I171" i="4"/>
  <c r="P171" i="4" s="1"/>
  <c r="I169" i="4"/>
  <c r="P169" i="4" s="1"/>
  <c r="I168" i="4"/>
  <c r="P168" i="4" s="1"/>
  <c r="I163" i="4"/>
  <c r="P163" i="4" s="1"/>
  <c r="I162" i="4"/>
  <c r="P162" i="4" s="1"/>
  <c r="I160" i="4"/>
  <c r="P160" i="4" s="1"/>
  <c r="I161" i="4"/>
  <c r="P161" i="4" s="1"/>
  <c r="M158" i="4"/>
  <c r="M151" i="4"/>
  <c r="M148" i="4"/>
  <c r="M155" i="4"/>
  <c r="M152" i="4"/>
  <c r="M157" i="4"/>
  <c r="M154" i="4"/>
  <c r="M156" i="4"/>
  <c r="M149" i="4"/>
  <c r="M153" i="4"/>
  <c r="M150" i="4"/>
  <c r="I156" i="4"/>
  <c r="I157" i="4"/>
  <c r="P157" i="4" s="1"/>
  <c r="I159" i="4"/>
  <c r="P159" i="4" s="1"/>
  <c r="I155" i="4"/>
  <c r="P155" i="4" s="1"/>
  <c r="I154" i="4"/>
  <c r="P154" i="4" s="1"/>
  <c r="I158" i="4"/>
  <c r="P158" i="4" s="1"/>
  <c r="M146" i="4"/>
  <c r="M147" i="4"/>
  <c r="M143" i="4"/>
  <c r="M142" i="4"/>
  <c r="M144" i="4"/>
  <c r="I152" i="4"/>
  <c r="P152" i="4" s="1"/>
  <c r="I148" i="4"/>
  <c r="P148" i="4" s="1"/>
  <c r="I151" i="4"/>
  <c r="P151" i="4" s="1"/>
  <c r="I153" i="4"/>
  <c r="P153" i="4" s="1"/>
  <c r="I150" i="4"/>
  <c r="P150" i="4" s="1"/>
  <c r="I149" i="4"/>
  <c r="P149" i="4" s="1"/>
  <c r="M145" i="4"/>
  <c r="M140" i="4"/>
  <c r="M137" i="4"/>
  <c r="M141" i="4"/>
  <c r="M136" i="4"/>
  <c r="M134" i="4"/>
  <c r="M132" i="4"/>
  <c r="M130" i="4"/>
  <c r="M138" i="4"/>
  <c r="M139" i="4"/>
  <c r="M135" i="4"/>
  <c r="M133" i="4"/>
  <c r="M131" i="4"/>
  <c r="I138" i="4"/>
  <c r="P138" i="4" s="1"/>
  <c r="I142" i="4"/>
  <c r="P142" i="4" s="1"/>
  <c r="I137" i="4"/>
  <c r="P137" i="4" s="1"/>
  <c r="I145" i="4"/>
  <c r="P145" i="4" s="1"/>
  <c r="I147" i="4"/>
  <c r="P147" i="4" s="1"/>
  <c r="I143" i="4"/>
  <c r="P143" i="4" s="1"/>
  <c r="I140" i="4"/>
  <c r="P140" i="4" s="1"/>
  <c r="I144" i="4"/>
  <c r="P144" i="4" s="1"/>
  <c r="I139" i="4"/>
  <c r="P139" i="4" s="1"/>
  <c r="I146" i="4"/>
  <c r="P146" i="4" s="1"/>
  <c r="I136" i="4"/>
  <c r="P136" i="4" s="1"/>
  <c r="I141" i="4"/>
  <c r="P141" i="4" s="1"/>
  <c r="I133" i="4"/>
  <c r="P133" i="4" s="1"/>
  <c r="I131" i="4"/>
  <c r="P131" i="4" s="1"/>
  <c r="I130" i="4"/>
  <c r="P130" i="4" s="1"/>
  <c r="I132" i="4"/>
  <c r="P132" i="4" s="1"/>
  <c r="I135" i="4"/>
  <c r="P135" i="4" s="1"/>
  <c r="I134" i="4"/>
  <c r="P134" i="4" s="1"/>
  <c r="M126" i="4"/>
  <c r="M128" i="4"/>
  <c r="M127" i="4"/>
  <c r="M125" i="4"/>
  <c r="M129" i="4"/>
  <c r="M124" i="4"/>
  <c r="I125" i="4"/>
  <c r="P125" i="4" s="1"/>
  <c r="I126" i="4"/>
  <c r="P126" i="4" s="1"/>
  <c r="I128" i="4"/>
  <c r="P128" i="4" s="1"/>
  <c r="I124" i="4"/>
  <c r="P124" i="4" s="1"/>
  <c r="I129" i="4"/>
  <c r="P129" i="4" s="1"/>
  <c r="I127" i="4"/>
  <c r="P127" i="4" s="1"/>
  <c r="M120" i="4"/>
  <c r="M116" i="4"/>
  <c r="M122" i="4"/>
  <c r="M114" i="4"/>
  <c r="M110" i="4"/>
  <c r="M123" i="4"/>
  <c r="M121" i="4"/>
  <c r="M119" i="4"/>
  <c r="M117" i="4"/>
  <c r="M115" i="4"/>
  <c r="M113" i="4"/>
  <c r="M111" i="4"/>
  <c r="M118" i="4"/>
  <c r="M112" i="4"/>
  <c r="I117" i="4"/>
  <c r="P117" i="4" s="1"/>
  <c r="I120" i="4"/>
  <c r="P120" i="4" s="1"/>
  <c r="I123" i="4"/>
  <c r="I119" i="4"/>
  <c r="P119" i="4" s="1"/>
  <c r="I115" i="4"/>
  <c r="P115" i="4" s="1"/>
  <c r="I122" i="4"/>
  <c r="I118" i="4"/>
  <c r="P118" i="4" s="1"/>
  <c r="I121" i="4"/>
  <c r="P121" i="4" s="1"/>
  <c r="I116" i="4"/>
  <c r="P116" i="4" s="1"/>
  <c r="I111" i="4"/>
  <c r="P111" i="4" s="1"/>
  <c r="I114" i="4"/>
  <c r="P114" i="4" s="1"/>
  <c r="I110" i="4"/>
  <c r="P110" i="4" s="1"/>
  <c r="I112" i="4"/>
  <c r="P112" i="4" s="1"/>
  <c r="I113" i="4"/>
  <c r="P113" i="4" s="1"/>
  <c r="M109" i="4"/>
  <c r="M106" i="4"/>
  <c r="M107" i="4"/>
  <c r="M105" i="4"/>
  <c r="M108" i="4"/>
  <c r="I109" i="4"/>
  <c r="P109" i="4" s="1"/>
  <c r="M102" i="4"/>
  <c r="M103" i="4"/>
  <c r="M100" i="4"/>
  <c r="I102" i="4"/>
  <c r="P102" i="4" s="1"/>
  <c r="M104" i="4"/>
  <c r="M101" i="4"/>
  <c r="I107" i="4"/>
  <c r="P107" i="4" s="1"/>
  <c r="I108" i="4"/>
  <c r="P108" i="4" s="1"/>
  <c r="I104" i="4"/>
  <c r="P104" i="4" s="1"/>
  <c r="I103" i="4"/>
  <c r="P103" i="4" s="1"/>
  <c r="I105" i="4"/>
  <c r="P105" i="4" s="1"/>
  <c r="I101" i="4"/>
  <c r="P101" i="4" s="1"/>
  <c r="I106" i="4"/>
  <c r="P106" i="4" s="1"/>
  <c r="I100" i="4"/>
  <c r="P100" i="4" s="1"/>
  <c r="M98" i="4"/>
  <c r="M96" i="4"/>
  <c r="M99" i="4"/>
  <c r="M97" i="4"/>
  <c r="M95" i="4"/>
  <c r="I99" i="4"/>
  <c r="P99" i="4" s="1"/>
  <c r="I95" i="4"/>
  <c r="P95" i="4" s="1"/>
  <c r="I96" i="4"/>
  <c r="P96" i="4" s="1"/>
  <c r="I98" i="4"/>
  <c r="P98" i="4" s="1"/>
  <c r="I97" i="4"/>
  <c r="P97" i="4" s="1"/>
  <c r="M92" i="4"/>
  <c r="M93" i="4"/>
  <c r="M91" i="4"/>
  <c r="M94" i="4"/>
  <c r="M90" i="4"/>
  <c r="I92" i="4"/>
  <c r="P92" i="4" s="1"/>
  <c r="I91" i="4"/>
  <c r="P91" i="4" s="1"/>
  <c r="I94" i="4"/>
  <c r="P94" i="4" s="1"/>
  <c r="I90" i="4"/>
  <c r="P90" i="4" s="1"/>
  <c r="I93" i="4"/>
  <c r="P93" i="4" s="1"/>
  <c r="M88" i="4"/>
  <c r="M79" i="4"/>
  <c r="M73" i="4"/>
  <c r="M55" i="4"/>
  <c r="M87" i="4"/>
  <c r="M85" i="4"/>
  <c r="M84" i="4"/>
  <c r="M89" i="4"/>
  <c r="M67" i="4"/>
  <c r="M86" i="4"/>
  <c r="M61" i="4"/>
  <c r="I67" i="4"/>
  <c r="P67" i="4" s="1"/>
  <c r="I89" i="4"/>
  <c r="P89" i="4" s="1"/>
  <c r="I61" i="4"/>
  <c r="P61" i="4" s="1"/>
  <c r="I79" i="4"/>
  <c r="P79" i="4" s="1"/>
  <c r="I55" i="4"/>
  <c r="P55" i="4" s="1"/>
  <c r="I73" i="4"/>
  <c r="P73" i="4" s="1"/>
  <c r="I87" i="4"/>
  <c r="P87" i="4" s="1"/>
  <c r="I85" i="4"/>
  <c r="P85" i="4" s="1"/>
  <c r="I88" i="4"/>
  <c r="P88" i="4" s="1"/>
  <c r="I84" i="4"/>
  <c r="P84" i="4" s="1"/>
  <c r="I86" i="4"/>
  <c r="P86" i="4" s="1"/>
  <c r="M82" i="4"/>
  <c r="M80" i="4"/>
  <c r="M83" i="4"/>
  <c r="M81" i="4"/>
  <c r="I83" i="4"/>
  <c r="I82" i="4"/>
  <c r="I81" i="4"/>
  <c r="P81" i="4" s="1"/>
  <c r="I80" i="4"/>
  <c r="M78" i="4"/>
  <c r="I78" i="4"/>
  <c r="P78" i="4" s="1"/>
  <c r="I74" i="4"/>
  <c r="P74" i="4" s="1"/>
  <c r="M75" i="4"/>
  <c r="M77" i="4"/>
  <c r="M74" i="4"/>
  <c r="M76" i="4"/>
  <c r="I77" i="4"/>
  <c r="P77" i="4" s="1"/>
  <c r="M71" i="4"/>
  <c r="I76" i="4"/>
  <c r="P76" i="4" s="1"/>
  <c r="M72" i="4"/>
  <c r="M70" i="4"/>
  <c r="M68" i="4"/>
  <c r="M69" i="4"/>
  <c r="I75" i="4"/>
  <c r="P75" i="4" s="1"/>
  <c r="I69" i="4"/>
  <c r="I72" i="4"/>
  <c r="P72" i="4" s="1"/>
  <c r="I68" i="4"/>
  <c r="I71" i="4"/>
  <c r="I70" i="4"/>
  <c r="M64" i="4"/>
  <c r="M62" i="4"/>
  <c r="M63" i="4"/>
  <c r="M66" i="4"/>
  <c r="M65" i="4"/>
  <c r="I66" i="4"/>
  <c r="P66" i="4" s="1"/>
  <c r="M14" i="4"/>
  <c r="I65" i="4"/>
  <c r="P65" i="4" s="1"/>
  <c r="I64" i="4"/>
  <c r="I62" i="4"/>
  <c r="I63" i="4"/>
  <c r="M58" i="4"/>
  <c r="M56" i="4"/>
  <c r="M52" i="4"/>
  <c r="M50" i="4"/>
  <c r="M45" i="4"/>
  <c r="M41" i="4"/>
  <c r="M39" i="4"/>
  <c r="M33" i="4"/>
  <c r="M37" i="4"/>
  <c r="I49" i="4"/>
  <c r="M49" i="4"/>
  <c r="M38" i="4"/>
  <c r="M34" i="4"/>
  <c r="M59" i="4"/>
  <c r="M57" i="4"/>
  <c r="M54" i="4"/>
  <c r="M53" i="4"/>
  <c r="M51" i="4"/>
  <c r="M43" i="4"/>
  <c r="M46" i="4"/>
  <c r="M6" i="4"/>
  <c r="M31" i="4"/>
  <c r="M35" i="4"/>
  <c r="M7" i="4"/>
  <c r="M2" i="4"/>
  <c r="M32" i="4"/>
  <c r="M60" i="4"/>
  <c r="K49" i="4"/>
  <c r="M48" i="4"/>
  <c r="M47" i="4"/>
  <c r="M40" i="4"/>
  <c r="M36" i="4"/>
  <c r="M15" i="4"/>
  <c r="M44" i="4"/>
  <c r="M42" i="4"/>
  <c r="I6" i="4"/>
  <c r="I60" i="4"/>
  <c r="P60" i="4" s="1"/>
  <c r="I56" i="4"/>
  <c r="I51" i="4"/>
  <c r="I45" i="4"/>
  <c r="P45" i="4" s="1"/>
  <c r="I47" i="4"/>
  <c r="I40" i="4"/>
  <c r="P40" i="4" s="1"/>
  <c r="I59" i="4"/>
  <c r="P59" i="4" s="1"/>
  <c r="I54" i="4"/>
  <c r="I50" i="4"/>
  <c r="I41" i="4"/>
  <c r="P41" i="4" s="1"/>
  <c r="I39" i="4"/>
  <c r="P39" i="4" s="1"/>
  <c r="I2" i="4"/>
  <c r="L2" i="4" s="1"/>
  <c r="I52" i="4"/>
  <c r="P52" i="4" s="1"/>
  <c r="M3" i="4"/>
  <c r="I58" i="4"/>
  <c r="I53" i="4"/>
  <c r="I44" i="4"/>
  <c r="P44" i="4" s="1"/>
  <c r="I43" i="4"/>
  <c r="P43" i="4" s="1"/>
  <c r="I42" i="4"/>
  <c r="P42" i="4" s="1"/>
  <c r="I38" i="4"/>
  <c r="I7" i="4"/>
  <c r="I48" i="4"/>
  <c r="I57" i="4"/>
  <c r="I46" i="4"/>
  <c r="I3" i="4"/>
  <c r="M8" i="4"/>
  <c r="I8" i="4"/>
  <c r="M10" i="4"/>
  <c r="M9" i="4"/>
  <c r="I9" i="4"/>
  <c r="M11" i="4"/>
  <c r="I10" i="4"/>
  <c r="M12" i="4"/>
  <c r="I11" i="4"/>
  <c r="I12" i="4"/>
  <c r="P12" i="4" s="1"/>
  <c r="M13" i="4"/>
  <c r="I13" i="4"/>
  <c r="M16" i="4"/>
  <c r="I16" i="4"/>
  <c r="K16" i="4" s="1"/>
  <c r="I15" i="4"/>
  <c r="K15" i="4" s="1"/>
  <c r="I14" i="4"/>
  <c r="K14" i="4" s="1"/>
  <c r="M18" i="4"/>
  <c r="N18" i="4"/>
  <c r="M17" i="4"/>
  <c r="N17" i="4"/>
  <c r="P17" i="4" s="1"/>
  <c r="B4" i="6"/>
  <c r="B5" i="6" s="1"/>
  <c r="B16" i="7"/>
  <c r="L311" i="4" l="1"/>
  <c r="L307" i="4"/>
  <c r="K311" i="4"/>
  <c r="L306" i="4"/>
  <c r="P306" i="4"/>
  <c r="K308" i="4"/>
  <c r="P309" i="4"/>
  <c r="L309" i="4" s="1"/>
  <c r="P308" i="4"/>
  <c r="K310" i="4"/>
  <c r="K299" i="4"/>
  <c r="P307" i="4"/>
  <c r="P304" i="4"/>
  <c r="L304" i="4" s="1"/>
  <c r="K304" i="4"/>
  <c r="P305" i="4"/>
  <c r="K305" i="4"/>
  <c r="K301" i="4"/>
  <c r="L301" i="4"/>
  <c r="L303" i="4"/>
  <c r="P303" i="4"/>
  <c r="L302" i="4"/>
  <c r="P302" i="4"/>
  <c r="K300" i="4"/>
  <c r="P300" i="4"/>
  <c r="P15" i="4"/>
  <c r="K2" i="4"/>
  <c r="P16" i="4"/>
  <c r="P277" i="4"/>
  <c r="L15" i="4"/>
  <c r="K41" i="4"/>
  <c r="L41" i="4"/>
  <c r="K47" i="4"/>
  <c r="L47" i="4"/>
  <c r="K68" i="4"/>
  <c r="L68" i="4"/>
  <c r="K80" i="4"/>
  <c r="L80" i="4"/>
  <c r="K88" i="4"/>
  <c r="L88" i="4"/>
  <c r="K95" i="4"/>
  <c r="L95" i="4"/>
  <c r="K118" i="4"/>
  <c r="L118" i="4"/>
  <c r="K117" i="4"/>
  <c r="L117" i="4"/>
  <c r="K126" i="4"/>
  <c r="L126" i="4"/>
  <c r="K135" i="4"/>
  <c r="L135" i="4"/>
  <c r="K136" i="4"/>
  <c r="L136" i="4"/>
  <c r="K148" i="4"/>
  <c r="L148" i="4"/>
  <c r="K161" i="4"/>
  <c r="L161" i="4"/>
  <c r="K164" i="4"/>
  <c r="L164" i="4"/>
  <c r="K174" i="4"/>
  <c r="L174" i="4"/>
  <c r="K179" i="4"/>
  <c r="L179" i="4"/>
  <c r="K192" i="4"/>
  <c r="L192" i="4"/>
  <c r="K205" i="4"/>
  <c r="L205" i="4"/>
  <c r="K247" i="4"/>
  <c r="L247" i="4"/>
  <c r="K282" i="4"/>
  <c r="L282" i="4"/>
  <c r="K293" i="4"/>
  <c r="L293" i="4"/>
  <c r="K3" i="4"/>
  <c r="L3" i="4"/>
  <c r="K58" i="4"/>
  <c r="L58" i="4"/>
  <c r="K45" i="4"/>
  <c r="L45" i="4"/>
  <c r="K6" i="4"/>
  <c r="L6" i="4"/>
  <c r="K63" i="4"/>
  <c r="L63" i="4"/>
  <c r="K71" i="4"/>
  <c r="L71" i="4"/>
  <c r="K72" i="4"/>
  <c r="L72" i="4"/>
  <c r="K76" i="4"/>
  <c r="L76" i="4"/>
  <c r="K81" i="4"/>
  <c r="L81" i="4"/>
  <c r="K85" i="4"/>
  <c r="L85" i="4"/>
  <c r="K61" i="4"/>
  <c r="L61" i="4"/>
  <c r="K67" i="4"/>
  <c r="L67" i="4"/>
  <c r="K91" i="4"/>
  <c r="L91" i="4"/>
  <c r="K99" i="4"/>
  <c r="L99" i="4"/>
  <c r="K100" i="4"/>
  <c r="L100" i="4"/>
  <c r="K101" i="4"/>
  <c r="L101" i="4"/>
  <c r="K103" i="4"/>
  <c r="L103" i="4"/>
  <c r="K104" i="4"/>
  <c r="L104" i="4"/>
  <c r="K109" i="4"/>
  <c r="L109" i="4"/>
  <c r="K110" i="4"/>
  <c r="L110" i="4"/>
  <c r="K116" i="4"/>
  <c r="L116" i="4"/>
  <c r="K122" i="4"/>
  <c r="L122" i="4"/>
  <c r="K123" i="4"/>
  <c r="L123" i="4"/>
  <c r="K127" i="4"/>
  <c r="L127" i="4"/>
  <c r="K146" i="4"/>
  <c r="L146" i="4"/>
  <c r="K143" i="4"/>
  <c r="L143" i="4"/>
  <c r="K147" i="4"/>
  <c r="L147" i="4"/>
  <c r="K137" i="4"/>
  <c r="L137" i="4"/>
  <c r="K150" i="4"/>
  <c r="L150" i="4"/>
  <c r="K154" i="4"/>
  <c r="L154" i="4"/>
  <c r="K157" i="4"/>
  <c r="L157" i="4"/>
  <c r="K169" i="4"/>
  <c r="L169" i="4"/>
  <c r="K172" i="4"/>
  <c r="L172" i="4"/>
  <c r="K166" i="4"/>
  <c r="L166" i="4"/>
  <c r="K173" i="4"/>
  <c r="L173" i="4"/>
  <c r="K175" i="4"/>
  <c r="L175" i="4"/>
  <c r="K185" i="4"/>
  <c r="L185" i="4"/>
  <c r="K186" i="4"/>
  <c r="L186" i="4"/>
  <c r="K203" i="4"/>
  <c r="L203" i="4"/>
  <c r="K198" i="4"/>
  <c r="L198" i="4"/>
  <c r="K212" i="4"/>
  <c r="L212" i="4"/>
  <c r="K211" i="4"/>
  <c r="L211" i="4"/>
  <c r="K207" i="4"/>
  <c r="L207" i="4"/>
  <c r="K214" i="4"/>
  <c r="L214" i="4"/>
  <c r="K213" i="4"/>
  <c r="L213" i="4"/>
  <c r="K223" i="4"/>
  <c r="L223" i="4"/>
  <c r="K232" i="4"/>
  <c r="L232" i="4"/>
  <c r="K231" i="4"/>
  <c r="L231" i="4"/>
  <c r="K236" i="4"/>
  <c r="L236" i="4"/>
  <c r="K238" i="4"/>
  <c r="L238" i="4"/>
  <c r="K244" i="4"/>
  <c r="L244" i="4"/>
  <c r="K249" i="4"/>
  <c r="L249" i="4"/>
  <c r="K252" i="4"/>
  <c r="L252" i="4"/>
  <c r="K258" i="4"/>
  <c r="L258" i="4"/>
  <c r="K256" i="4"/>
  <c r="L256" i="4"/>
  <c r="K253" i="4"/>
  <c r="L253" i="4"/>
  <c r="K260" i="4"/>
  <c r="L260" i="4"/>
  <c r="K263" i="4"/>
  <c r="L263" i="4"/>
  <c r="K259" i="4"/>
  <c r="L259" i="4"/>
  <c r="K266" i="4"/>
  <c r="L266" i="4"/>
  <c r="K267" i="4"/>
  <c r="L267" i="4"/>
  <c r="K271" i="4"/>
  <c r="L271" i="4"/>
  <c r="K274" i="4"/>
  <c r="L274" i="4"/>
  <c r="K278" i="4"/>
  <c r="L278" i="4"/>
  <c r="K284" i="4"/>
  <c r="L284" i="4"/>
  <c r="K283" i="4"/>
  <c r="L283" i="4"/>
  <c r="K288" i="4"/>
  <c r="L288" i="4"/>
  <c r="K297" i="4"/>
  <c r="L297" i="4"/>
  <c r="K48" i="4"/>
  <c r="L48" i="4"/>
  <c r="K53" i="4"/>
  <c r="L53" i="4"/>
  <c r="K59" i="4"/>
  <c r="L59" i="4"/>
  <c r="K60" i="4"/>
  <c r="L60" i="4"/>
  <c r="K64" i="4"/>
  <c r="L64" i="4"/>
  <c r="K73" i="4"/>
  <c r="L73" i="4"/>
  <c r="K98" i="4"/>
  <c r="L98" i="4"/>
  <c r="K119" i="4"/>
  <c r="L119" i="4"/>
  <c r="K140" i="4"/>
  <c r="L140" i="4"/>
  <c r="K138" i="4"/>
  <c r="L138" i="4"/>
  <c r="K149" i="4"/>
  <c r="L149" i="4"/>
  <c r="K159" i="4"/>
  <c r="L159" i="4"/>
  <c r="K168" i="4"/>
  <c r="L168" i="4"/>
  <c r="K165" i="4"/>
  <c r="L165" i="4"/>
  <c r="K183" i="4"/>
  <c r="L183" i="4"/>
  <c r="K194" i="4"/>
  <c r="L194" i="4"/>
  <c r="K219" i="4"/>
  <c r="L219" i="4"/>
  <c r="K221" i="4"/>
  <c r="L221" i="4"/>
  <c r="K242" i="4"/>
  <c r="L242" i="4"/>
  <c r="K262" i="4"/>
  <c r="L262" i="4"/>
  <c r="K270" i="4"/>
  <c r="L270" i="4"/>
  <c r="K272" i="4"/>
  <c r="L272" i="4"/>
  <c r="K276" i="4"/>
  <c r="L276" i="4"/>
  <c r="K281" i="4"/>
  <c r="L281" i="4"/>
  <c r="K287" i="4"/>
  <c r="L287" i="4"/>
  <c r="K294" i="4"/>
  <c r="L294" i="4"/>
  <c r="K12" i="4"/>
  <c r="L12" i="4"/>
  <c r="K10" i="4"/>
  <c r="L10" i="4"/>
  <c r="K9" i="4"/>
  <c r="L9" i="4"/>
  <c r="K8" i="4"/>
  <c r="L8" i="4"/>
  <c r="K46" i="4"/>
  <c r="L46" i="4"/>
  <c r="K7" i="4"/>
  <c r="L7" i="4"/>
  <c r="K43" i="4"/>
  <c r="L43" i="4"/>
  <c r="K50" i="4"/>
  <c r="L50" i="4"/>
  <c r="K51" i="4"/>
  <c r="L51" i="4"/>
  <c r="K65" i="4"/>
  <c r="L65" i="4"/>
  <c r="K66" i="4"/>
  <c r="L66" i="4"/>
  <c r="K75" i="4"/>
  <c r="L75" i="4"/>
  <c r="K74" i="4"/>
  <c r="L74" i="4"/>
  <c r="K82" i="4"/>
  <c r="L82" i="4"/>
  <c r="K86" i="4"/>
  <c r="L86" i="4"/>
  <c r="K87" i="4"/>
  <c r="L87" i="4"/>
  <c r="K55" i="4"/>
  <c r="L55" i="4"/>
  <c r="K90" i="4"/>
  <c r="L90" i="4"/>
  <c r="K97" i="4"/>
  <c r="L97" i="4"/>
  <c r="K96" i="4"/>
  <c r="L96" i="4"/>
  <c r="K106" i="4"/>
  <c r="L106" i="4"/>
  <c r="K105" i="4"/>
  <c r="L105" i="4"/>
  <c r="K108" i="4"/>
  <c r="L108" i="4"/>
  <c r="K114" i="4"/>
  <c r="L114" i="4"/>
  <c r="K121" i="4"/>
  <c r="L121" i="4"/>
  <c r="K130" i="4"/>
  <c r="L130" i="4"/>
  <c r="K139" i="4"/>
  <c r="L139" i="4"/>
  <c r="K142" i="4"/>
  <c r="L142" i="4"/>
  <c r="K153" i="4"/>
  <c r="L153" i="4"/>
  <c r="K152" i="4"/>
  <c r="L152" i="4"/>
  <c r="K158" i="4"/>
  <c r="L158" i="4"/>
  <c r="K156" i="4"/>
  <c r="L156" i="4"/>
  <c r="K160" i="4"/>
  <c r="L160" i="4"/>
  <c r="K171" i="4"/>
  <c r="L171" i="4"/>
  <c r="K167" i="4"/>
  <c r="L167" i="4"/>
  <c r="K176" i="4"/>
  <c r="L176" i="4"/>
  <c r="K178" i="4"/>
  <c r="L178" i="4"/>
  <c r="K180" i="4"/>
  <c r="L180" i="4"/>
  <c r="K184" i="4"/>
  <c r="L184" i="4"/>
  <c r="K189" i="4"/>
  <c r="L189" i="4"/>
  <c r="K195" i="4"/>
  <c r="L195" i="4"/>
  <c r="K190" i="4"/>
  <c r="L190" i="4"/>
  <c r="K187" i="4"/>
  <c r="L187" i="4"/>
  <c r="K196" i="4"/>
  <c r="L196" i="4"/>
  <c r="K200" i="4"/>
  <c r="L200" i="4"/>
  <c r="K204" i="4"/>
  <c r="L204" i="4"/>
  <c r="K202" i="4"/>
  <c r="L202" i="4"/>
  <c r="K209" i="4"/>
  <c r="L209" i="4"/>
  <c r="K216" i="4"/>
  <c r="L216" i="4"/>
  <c r="K215" i="4"/>
  <c r="L215" i="4"/>
  <c r="K227" i="4"/>
  <c r="L227" i="4"/>
  <c r="K222" i="4"/>
  <c r="L222" i="4"/>
  <c r="K229" i="4"/>
  <c r="L229" i="4"/>
  <c r="K230" i="4"/>
  <c r="L230" i="4"/>
  <c r="K235" i="4"/>
  <c r="L235" i="4"/>
  <c r="K241" i="4"/>
  <c r="L241" i="4"/>
  <c r="K237" i="4"/>
  <c r="L237" i="4"/>
  <c r="K248" i="4"/>
  <c r="L248" i="4"/>
  <c r="K257" i="4"/>
  <c r="L257" i="4"/>
  <c r="K254" i="4"/>
  <c r="L254" i="4"/>
  <c r="K264" i="4"/>
  <c r="L264" i="4"/>
  <c r="K269" i="4"/>
  <c r="L269" i="4"/>
  <c r="K268" i="4"/>
  <c r="L268" i="4"/>
  <c r="K273" i="4"/>
  <c r="L273" i="4"/>
  <c r="K275" i="4"/>
  <c r="L275" i="4"/>
  <c r="K277" i="4"/>
  <c r="K279" i="4"/>
  <c r="L279" i="4"/>
  <c r="K285" i="4"/>
  <c r="L285" i="4"/>
  <c r="K292" i="4"/>
  <c r="L292" i="4"/>
  <c r="K295" i="4"/>
  <c r="L295" i="4"/>
  <c r="K298" i="4"/>
  <c r="L298" i="4"/>
  <c r="L14" i="4"/>
  <c r="L16" i="4"/>
  <c r="K42" i="4"/>
  <c r="L42" i="4"/>
  <c r="K52" i="4"/>
  <c r="L52" i="4"/>
  <c r="K70" i="4"/>
  <c r="L70" i="4"/>
  <c r="K83" i="4"/>
  <c r="L83" i="4"/>
  <c r="K111" i="4"/>
  <c r="L111" i="4"/>
  <c r="K120" i="4"/>
  <c r="L120" i="4"/>
  <c r="K124" i="4"/>
  <c r="L124" i="4"/>
  <c r="K133" i="4"/>
  <c r="L133" i="4"/>
  <c r="K163" i="4"/>
  <c r="L163" i="4"/>
  <c r="K170" i="4"/>
  <c r="L170" i="4"/>
  <c r="K181" i="4"/>
  <c r="L181" i="4"/>
  <c r="K201" i="4"/>
  <c r="L201" i="4"/>
  <c r="K217" i="4"/>
  <c r="L217" i="4"/>
  <c r="K228" i="4"/>
  <c r="L228" i="4"/>
  <c r="K243" i="4"/>
  <c r="L243" i="4"/>
  <c r="K255" i="4"/>
  <c r="L255" i="4"/>
  <c r="K265" i="4"/>
  <c r="L265" i="4"/>
  <c r="K280" i="4"/>
  <c r="L280" i="4"/>
  <c r="J17" i="4"/>
  <c r="J18" i="4"/>
  <c r="K13" i="4"/>
  <c r="L13" i="4"/>
  <c r="K11" i="4"/>
  <c r="L11" i="4"/>
  <c r="K57" i="4"/>
  <c r="L57" i="4"/>
  <c r="K38" i="4"/>
  <c r="L38" i="4"/>
  <c r="K44" i="4"/>
  <c r="L44" i="4"/>
  <c r="K39" i="4"/>
  <c r="L39" i="4"/>
  <c r="K54" i="4"/>
  <c r="L54" i="4"/>
  <c r="K40" i="4"/>
  <c r="L40" i="4"/>
  <c r="K56" i="4"/>
  <c r="L56" i="4"/>
  <c r="K62" i="4"/>
  <c r="L62" i="4"/>
  <c r="K69" i="4"/>
  <c r="L69" i="4"/>
  <c r="K77" i="4"/>
  <c r="L77" i="4"/>
  <c r="K78" i="4"/>
  <c r="L78" i="4"/>
  <c r="K84" i="4"/>
  <c r="L84" i="4"/>
  <c r="K79" i="4"/>
  <c r="L79" i="4"/>
  <c r="K89" i="4"/>
  <c r="L89" i="4"/>
  <c r="K93" i="4"/>
  <c r="L93" i="4"/>
  <c r="K94" i="4"/>
  <c r="L94" i="4"/>
  <c r="K92" i="4"/>
  <c r="L92" i="4"/>
  <c r="K107" i="4"/>
  <c r="L107" i="4"/>
  <c r="K102" i="4"/>
  <c r="L102" i="4"/>
  <c r="K113" i="4"/>
  <c r="L113" i="4"/>
  <c r="K112" i="4"/>
  <c r="L112" i="4"/>
  <c r="K115" i="4"/>
  <c r="L115" i="4"/>
  <c r="K129" i="4"/>
  <c r="L129" i="4"/>
  <c r="K128" i="4"/>
  <c r="L128" i="4"/>
  <c r="K125" i="4"/>
  <c r="L125" i="4"/>
  <c r="K134" i="4"/>
  <c r="L134" i="4"/>
  <c r="K132" i="4"/>
  <c r="L132" i="4"/>
  <c r="K131" i="4"/>
  <c r="L131" i="4"/>
  <c r="K141" i="4"/>
  <c r="L141" i="4"/>
  <c r="K144" i="4"/>
  <c r="L144" i="4"/>
  <c r="K145" i="4"/>
  <c r="L145" i="4"/>
  <c r="K151" i="4"/>
  <c r="L151" i="4"/>
  <c r="K155" i="4"/>
  <c r="L155" i="4"/>
  <c r="K162" i="4"/>
  <c r="L162" i="4"/>
  <c r="K177" i="4"/>
  <c r="L177" i="4"/>
  <c r="K182" i="4"/>
  <c r="L182" i="4"/>
  <c r="K191" i="4"/>
  <c r="L191" i="4"/>
  <c r="K193" i="4"/>
  <c r="L193" i="4"/>
  <c r="K188" i="4"/>
  <c r="L188" i="4"/>
  <c r="K199" i="4"/>
  <c r="L199" i="4"/>
  <c r="K197" i="4"/>
  <c r="L197" i="4"/>
  <c r="K208" i="4"/>
  <c r="L208" i="4"/>
  <c r="K206" i="4"/>
  <c r="L206" i="4"/>
  <c r="K210" i="4"/>
  <c r="L210" i="4"/>
  <c r="K218" i="4"/>
  <c r="L218" i="4"/>
  <c r="K220" i="4"/>
  <c r="L220" i="4"/>
  <c r="K224" i="4"/>
  <c r="L224" i="4"/>
  <c r="K225" i="4"/>
  <c r="L225" i="4"/>
  <c r="K226" i="4"/>
  <c r="L226" i="4"/>
  <c r="K233" i="4"/>
  <c r="L233" i="4"/>
  <c r="K234" i="4"/>
  <c r="L234" i="4"/>
  <c r="K240" i="4"/>
  <c r="L240" i="4"/>
  <c r="K239" i="4"/>
  <c r="L239" i="4"/>
  <c r="K246" i="4"/>
  <c r="L246" i="4"/>
  <c r="K251" i="4"/>
  <c r="L251" i="4"/>
  <c r="K250" i="4"/>
  <c r="L250" i="4"/>
  <c r="K261" i="4"/>
  <c r="L261" i="4"/>
  <c r="K290" i="4"/>
  <c r="L290" i="4"/>
  <c r="K289" i="4"/>
  <c r="L289" i="4"/>
  <c r="K291" i="4"/>
  <c r="L291" i="4"/>
  <c r="K286" i="4"/>
  <c r="L286" i="4"/>
  <c r="K296" i="4"/>
  <c r="L296" i="4"/>
  <c r="I17" i="4"/>
  <c r="K17" i="4" s="1"/>
  <c r="I18" i="4"/>
  <c r="K18" i="4" s="1"/>
  <c r="M20" i="4"/>
  <c r="N20" i="4"/>
  <c r="M21" i="4"/>
  <c r="N21" i="4"/>
  <c r="P21" i="4" s="1"/>
  <c r="M19" i="4"/>
  <c r="N19" i="4"/>
  <c r="P19" i="4" s="1"/>
  <c r="G12" i="8"/>
  <c r="P18" i="4" l="1"/>
  <c r="J19" i="4"/>
  <c r="L17" i="4"/>
  <c r="J21" i="4"/>
  <c r="J20" i="4"/>
  <c r="L18" i="4"/>
  <c r="I19" i="4"/>
  <c r="K19" i="4" s="1"/>
  <c r="I20" i="4"/>
  <c r="K20" i="4" s="1"/>
  <c r="I21" i="4"/>
  <c r="K21" i="4" s="1"/>
  <c r="N22" i="4"/>
  <c r="P22" i="4" s="1"/>
  <c r="M22" i="4"/>
  <c r="G11" i="8"/>
  <c r="D15" i="8" s="1"/>
  <c r="P20" i="4" l="1"/>
  <c r="L20" i="4"/>
  <c r="J22" i="4"/>
  <c r="L19" i="4"/>
  <c r="L21" i="4"/>
  <c r="I22" i="4"/>
  <c r="K22" i="4" s="1"/>
  <c r="M23" i="4"/>
  <c r="N23" i="4"/>
  <c r="P23" i="4" s="1"/>
  <c r="G15" i="8"/>
  <c r="G28" i="8" s="1"/>
  <c r="B9" i="6"/>
  <c r="B8" i="6" s="1"/>
  <c r="J11" i="8"/>
  <c r="L22" i="4" l="1"/>
  <c r="J23" i="4"/>
  <c r="M25" i="4"/>
  <c r="N25" i="4"/>
  <c r="P25" i="4" s="1"/>
  <c r="M24" i="4"/>
  <c r="N24" i="4"/>
  <c r="P24" i="4" s="1"/>
  <c r="I23" i="4"/>
  <c r="K23" i="4" s="1"/>
  <c r="J24" i="4" l="1"/>
  <c r="L23" i="4"/>
  <c r="J25" i="4"/>
  <c r="I25" i="4"/>
  <c r="K25" i="4" s="1"/>
  <c r="I24" i="4"/>
  <c r="K24" i="4" s="1"/>
  <c r="M26" i="4"/>
  <c r="N26" i="4"/>
  <c r="L24" i="4" l="1"/>
  <c r="J26" i="4"/>
  <c r="L25" i="4"/>
  <c r="I26" i="4"/>
  <c r="K26" i="4" s="1"/>
  <c r="N27" i="4"/>
  <c r="M27" i="4"/>
  <c r="P26" i="4" l="1"/>
  <c r="L26" i="4"/>
  <c r="J27" i="4"/>
  <c r="I27" i="4"/>
  <c r="K27" i="4" s="1"/>
  <c r="M28" i="4"/>
  <c r="N28" i="4"/>
  <c r="P27" i="4" l="1"/>
  <c r="L27" i="4"/>
  <c r="J28" i="4"/>
  <c r="I28" i="4"/>
  <c r="K28" i="4" s="1"/>
  <c r="M29" i="4"/>
  <c r="N29" i="4"/>
  <c r="P28" i="4" l="1"/>
  <c r="J29" i="4"/>
  <c r="L28" i="4"/>
  <c r="I29" i="4"/>
  <c r="K29" i="4" s="1"/>
  <c r="M30" i="4"/>
  <c r="N30" i="4"/>
  <c r="P30" i="4" s="1"/>
  <c r="P29" i="4" l="1"/>
  <c r="L29" i="4"/>
  <c r="J30" i="4"/>
  <c r="I30" i="4"/>
  <c r="K30" i="4" s="1"/>
  <c r="N31" i="4"/>
  <c r="P31" i="4" s="1"/>
  <c r="L30" i="4" l="1"/>
  <c r="J31" i="4"/>
  <c r="I31" i="4"/>
  <c r="K31" i="4" s="1"/>
  <c r="N32" i="4"/>
  <c r="P32" i="4" s="1"/>
  <c r="L31" i="4" l="1"/>
  <c r="J32" i="4"/>
  <c r="I32" i="4"/>
  <c r="K32" i="4" s="1"/>
  <c r="N33" i="4"/>
  <c r="P33" i="4" s="1"/>
  <c r="L32" i="4" l="1"/>
  <c r="J33" i="4"/>
  <c r="I33" i="4"/>
  <c r="K33" i="4" s="1"/>
  <c r="N34" i="4"/>
  <c r="P34" i="4" s="1"/>
  <c r="L33" i="4" l="1"/>
  <c r="J34" i="4"/>
  <c r="I34" i="4"/>
  <c r="K34" i="4" s="1"/>
  <c r="N36" i="4"/>
  <c r="N35" i="4"/>
  <c r="J35" i="4" l="1"/>
  <c r="L34" i="4"/>
  <c r="J36" i="4"/>
  <c r="I35" i="4"/>
  <c r="K35" i="4" s="1"/>
  <c r="I36" i="4"/>
  <c r="K36" i="4" s="1"/>
  <c r="N37" i="4"/>
  <c r="L35" i="4" l="1"/>
  <c r="P36" i="4"/>
  <c r="P35" i="4"/>
  <c r="J37" i="4"/>
  <c r="L36" i="4"/>
  <c r="I37" i="4"/>
  <c r="K37" i="4" s="1"/>
  <c r="M4" i="4"/>
  <c r="N4" i="4"/>
  <c r="P4" i="4" s="1"/>
  <c r="P37" i="4" l="1"/>
  <c r="J4" i="4"/>
  <c r="L37" i="4"/>
  <c r="I4" i="4"/>
  <c r="K4" i="4" s="1"/>
  <c r="M5" i="4"/>
  <c r="N5" i="4"/>
  <c r="P5" i="4" s="1"/>
  <c r="E16" i="8"/>
  <c r="H16" i="8" s="1"/>
  <c r="H28" i="8" s="1"/>
  <c r="I28" i="8" s="1"/>
  <c r="G16" i="7"/>
  <c r="F20" i="7" s="1"/>
  <c r="J5" i="4" l="1"/>
  <c r="L4" i="4"/>
  <c r="I5" i="4"/>
  <c r="K5" i="4" s="1"/>
  <c r="L5" i="4" l="1"/>
</calcChain>
</file>

<file path=xl/sharedStrings.xml><?xml version="1.0" encoding="utf-8"?>
<sst xmlns="http://schemas.openxmlformats.org/spreadsheetml/2006/main" count="723" uniqueCount="216">
  <si>
    <t>Função</t>
  </si>
  <si>
    <t>Diretor</t>
  </si>
  <si>
    <t>Gerente</t>
  </si>
  <si>
    <t>Coordenador</t>
  </si>
  <si>
    <t>Analista</t>
  </si>
  <si>
    <t>Estagiário</t>
  </si>
  <si>
    <t>Alimentador</t>
  </si>
  <si>
    <t>Área</t>
  </si>
  <si>
    <t>Operações</t>
  </si>
  <si>
    <t>Finanças</t>
  </si>
  <si>
    <t>Produção</t>
  </si>
  <si>
    <t>Funcionário</t>
  </si>
  <si>
    <t>E-mail</t>
  </si>
  <si>
    <t>Telefone</t>
  </si>
  <si>
    <t>Salário</t>
  </si>
  <si>
    <t>Data de Admissão</t>
  </si>
  <si>
    <t>FERIADOS</t>
  </si>
  <si>
    <t>FE Oficial</t>
  </si>
  <si>
    <t>FE Talvez</t>
  </si>
  <si>
    <t>Dia da Semana</t>
  </si>
  <si>
    <t>Descrição</t>
  </si>
  <si>
    <t>Independência do Brasil</t>
  </si>
  <si>
    <t>Manaus</t>
  </si>
  <si>
    <t>Nossa Senhora</t>
  </si>
  <si>
    <t>Facultativo Manaus</t>
  </si>
  <si>
    <t>Elevação Manaus</t>
  </si>
  <si>
    <t>Dia do servidor publico Manaus</t>
  </si>
  <si>
    <t>Finados</t>
  </si>
  <si>
    <t>Proclamação</t>
  </si>
  <si>
    <t>Padroeira de Manaus</t>
  </si>
  <si>
    <t>Natal</t>
  </si>
  <si>
    <t>Ano Novo (Confraternização Universal)</t>
  </si>
  <si>
    <t>Carnaval</t>
  </si>
  <si>
    <t>Quarta-feira de cinzas</t>
  </si>
  <si>
    <t>Sexta-feira Santa (Dia da Paixão de Cristo)</t>
  </si>
  <si>
    <t>Páscoa</t>
  </si>
  <si>
    <t>Tiradentes</t>
  </si>
  <si>
    <t>Dia do Trabalho</t>
  </si>
  <si>
    <t>Corpus Christi</t>
  </si>
  <si>
    <t>Nossa Senhora Aparecida e Dia das Crianças</t>
  </si>
  <si>
    <t>Proclamação da república</t>
  </si>
  <si>
    <t>Dia da Consciência Negra</t>
  </si>
  <si>
    <t>Data Inicial</t>
  </si>
  <si>
    <t>Data Final</t>
  </si>
  <si>
    <t>Dias Corridos</t>
  </si>
  <si>
    <t>Dias Uteis</t>
  </si>
  <si>
    <t>Domingos/Feriados</t>
  </si>
  <si>
    <t>DSR</t>
  </si>
  <si>
    <t>data</t>
  </si>
  <si>
    <t>dia</t>
  </si>
  <si>
    <t>Horas Extras</t>
  </si>
  <si>
    <t>Controle de Horas Trabalhadas</t>
  </si>
  <si>
    <t>Detalhes do Funcionário</t>
  </si>
  <si>
    <t>Email</t>
  </si>
  <si>
    <t>Cargo</t>
  </si>
  <si>
    <t>Celular</t>
  </si>
  <si>
    <t>Período de Trabalho</t>
  </si>
  <si>
    <t>Resumo</t>
  </si>
  <si>
    <t>Dias Trabalhados</t>
  </si>
  <si>
    <t>Horas/Dia</t>
  </si>
  <si>
    <t>Total de Horas a Trabalhar</t>
  </si>
  <si>
    <t>Total de Horas Trabalhadas</t>
  </si>
  <si>
    <t>Total Hora Extra</t>
  </si>
  <si>
    <t>Total Hora Extra
(Feriado)</t>
  </si>
  <si>
    <t>Data</t>
  </si>
  <si>
    <t>Entrada</t>
  </si>
  <si>
    <t>Saída Almoço</t>
  </si>
  <si>
    <t>Retorno Almoço</t>
  </si>
  <si>
    <t>Saída</t>
  </si>
  <si>
    <t>Carga Horária por Dia</t>
  </si>
  <si>
    <t>Horas Trabalhadas</t>
  </si>
  <si>
    <t>Nome</t>
  </si>
  <si>
    <t>Aux1</t>
  </si>
  <si>
    <t>Aux3</t>
  </si>
  <si>
    <t>Aux4</t>
  </si>
  <si>
    <t>Feriados</t>
  </si>
  <si>
    <t>Dia</t>
  </si>
  <si>
    <t>Saída Depois</t>
  </si>
  <si>
    <t>Entrada 1 Antes</t>
  </si>
  <si>
    <t>Saída Almoço 1</t>
  </si>
  <si>
    <t>Saída Almoço 2</t>
  </si>
  <si>
    <t>Tempo de Almoço</t>
  </si>
  <si>
    <t>Auxiiliar</t>
  </si>
  <si>
    <t>MATRÍCULA</t>
  </si>
  <si>
    <t>NOME DA OM APOIADORA</t>
  </si>
  <si>
    <t>OM APOIADA</t>
  </si>
  <si>
    <t>PAGAMENTO</t>
  </si>
  <si>
    <t>7842-05</t>
  </si>
  <si>
    <t xml:space="preserve"> 16.287.78</t>
  </si>
  <si>
    <t>DUO NOBRE</t>
  </si>
  <si>
    <t>MANAUS</t>
  </si>
  <si>
    <t>MÊS OUTUBRO</t>
  </si>
  <si>
    <t>QUALIF.</t>
  </si>
  <si>
    <t>ATIVO-DUO NOBRE</t>
  </si>
  <si>
    <t>REF.</t>
  </si>
  <si>
    <t>ESP</t>
  </si>
  <si>
    <t>IDENTIDADE</t>
  </si>
  <si>
    <t>CPF</t>
  </si>
  <si>
    <t>Aux. de Produção</t>
  </si>
  <si>
    <t>S2</t>
  </si>
  <si>
    <t>NE</t>
  </si>
  <si>
    <t>DISCRIMINAÇÃO</t>
  </si>
  <si>
    <t>Valor</t>
  </si>
  <si>
    <t>D/H</t>
  </si>
  <si>
    <t>%</t>
  </si>
  <si>
    <t>RECEITA</t>
  </si>
  <si>
    <t>DESPESA</t>
  </si>
  <si>
    <t>PRAZO</t>
  </si>
  <si>
    <t>IR</t>
  </si>
  <si>
    <t>SALÁRIO CONTRATUAL</t>
  </si>
  <si>
    <t>VALE TRANSPORTE</t>
  </si>
  <si>
    <t>INSS</t>
  </si>
  <si>
    <t>HORA EXTRA (Dias Utéis)</t>
  </si>
  <si>
    <t>ADIANTAMENTO</t>
  </si>
  <si>
    <t>SALÁRIO FAMILIA</t>
  </si>
  <si>
    <r>
      <t xml:space="preserve">HORAS </t>
    </r>
    <r>
      <rPr>
        <b/>
        <sz val="8"/>
        <rFont val="Arial"/>
        <family val="2"/>
      </rPr>
      <t>Descontos</t>
    </r>
  </si>
  <si>
    <t>BANCO</t>
  </si>
  <si>
    <t>AGÊNCIA</t>
  </si>
  <si>
    <t>CONTA CORRENTE</t>
  </si>
  <si>
    <t>RECEITA R$</t>
  </si>
  <si>
    <t>DESPESA R$</t>
  </si>
  <si>
    <t>LÍQUIDO R$</t>
  </si>
  <si>
    <t>56146-9</t>
  </si>
  <si>
    <t>ANUÊNIO</t>
  </si>
  <si>
    <t>PASEP</t>
  </si>
  <si>
    <t>NUM DEP IR</t>
  </si>
  <si>
    <t>%DESC. PM/FS</t>
  </si>
  <si>
    <t>COTAS</t>
  </si>
  <si>
    <t>ISENÇÃO IR</t>
  </si>
  <si>
    <t>SIT</t>
  </si>
  <si>
    <t>MARÇO</t>
  </si>
  <si>
    <t>Ativo Brasil</t>
  </si>
  <si>
    <t>Salário Bruto</t>
  </si>
  <si>
    <t>Contrato</t>
  </si>
  <si>
    <t>Horas</t>
  </si>
  <si>
    <t>Minutos</t>
  </si>
  <si>
    <t>Interjornada</t>
  </si>
  <si>
    <t>Salário Familia</t>
  </si>
  <si>
    <t>Salário Liquido</t>
  </si>
  <si>
    <t>Intrajornada</t>
  </si>
  <si>
    <t>INTERJORNADA</t>
  </si>
  <si>
    <t>Tabela Alíquotas 2023</t>
  </si>
  <si>
    <t>IRRF 2023</t>
  </si>
  <si>
    <t>Valor Inicial</t>
  </si>
  <si>
    <t>Valor Final</t>
  </si>
  <si>
    <t>Percentual</t>
  </si>
  <si>
    <t>A Deduzir</t>
  </si>
  <si>
    <t>Alíquota 1</t>
  </si>
  <si>
    <t>Alíquota 2</t>
  </si>
  <si>
    <t>Alíquota 3</t>
  </si>
  <si>
    <t>Alíquota 4</t>
  </si>
  <si>
    <t>Alíquota 5</t>
  </si>
  <si>
    <t>Desconto
Simplificado</t>
  </si>
  <si>
    <t>Parcela por Dependente</t>
  </si>
  <si>
    <t>Base INSS</t>
  </si>
  <si>
    <t>Insalubridade</t>
  </si>
  <si>
    <t>Salário Mínimo
à considerar</t>
  </si>
  <si>
    <t>Graus</t>
  </si>
  <si>
    <t>Minímo (I)</t>
  </si>
  <si>
    <t>Médio (II)</t>
  </si>
  <si>
    <t>Máximo (III)</t>
  </si>
  <si>
    <t>Periculosidade</t>
  </si>
  <si>
    <t>DATA</t>
  </si>
  <si>
    <t>HORA</t>
  </si>
  <si>
    <t>TOTAL</t>
  </si>
  <si>
    <t>Valor Hora Extra</t>
  </si>
  <si>
    <t>Valor Hora Extra (Domingos/Feriados)</t>
  </si>
  <si>
    <t>Valor Hora (R$)</t>
  </si>
  <si>
    <t>Soma das Extras (R$)</t>
  </si>
  <si>
    <t>FUNÇÃO</t>
  </si>
  <si>
    <t>LOCAL</t>
  </si>
  <si>
    <t>0341</t>
  </si>
  <si>
    <t>CNPJ</t>
  </si>
  <si>
    <t>Domingo</t>
  </si>
  <si>
    <t>Véspera de Natal</t>
  </si>
  <si>
    <t>Yvens</t>
  </si>
  <si>
    <t>yvensgabriel75@gmail.com</t>
  </si>
  <si>
    <t>(92) 98109-8959</t>
  </si>
  <si>
    <t>Desconto</t>
  </si>
  <si>
    <t>Justificativa</t>
  </si>
  <si>
    <t>E3</t>
  </si>
  <si>
    <t>S3</t>
  </si>
  <si>
    <t>Rafael</t>
  </si>
  <si>
    <t>rafaelduo@gmail.com</t>
  </si>
  <si>
    <t>(92) 91234-5678</t>
  </si>
  <si>
    <t>Injeção de Cera</t>
  </si>
  <si>
    <t>Hosanaduo@gmail.com</t>
  </si>
  <si>
    <t>(92) 98765-4321</t>
  </si>
  <si>
    <t xml:space="preserve">Serviço Gerais </t>
  </si>
  <si>
    <t>Fran</t>
  </si>
  <si>
    <t>Hozana</t>
  </si>
  <si>
    <t>Cristiano</t>
  </si>
  <si>
    <t>Manutenção</t>
  </si>
  <si>
    <t>Limpeza</t>
  </si>
  <si>
    <t>Crisley</t>
  </si>
  <si>
    <t>Aldenilson</t>
  </si>
  <si>
    <t>Daniela</t>
  </si>
  <si>
    <t>Flávio</t>
  </si>
  <si>
    <t>Luiza</t>
  </si>
  <si>
    <t>Juan</t>
  </si>
  <si>
    <t xml:space="preserve">Deyvid </t>
  </si>
  <si>
    <t>Consulta</t>
  </si>
  <si>
    <t>Ester</t>
  </si>
  <si>
    <t>Mikaely</t>
  </si>
  <si>
    <t>Tarso</t>
  </si>
  <si>
    <t>Auxiliar</t>
  </si>
  <si>
    <t>Andressa</t>
  </si>
  <si>
    <t>Controle de Peças</t>
  </si>
  <si>
    <t>PCP</t>
  </si>
  <si>
    <t>Gabriela</t>
  </si>
  <si>
    <t>Auxilia de Escritório</t>
  </si>
  <si>
    <t>Administrativa</t>
  </si>
  <si>
    <t>gabriela.martins@duonobre.com.br</t>
  </si>
  <si>
    <t>(92) 98507-1774</t>
  </si>
  <si>
    <t/>
  </si>
  <si>
    <t xml:space="preserve">Planilha de controle de horas de Funcionários:
Para conseguir editar entre em contato com o propietário pelo e-mail rhuanrsa208@gmail.com ou WhatsApp (21) 97126-4893. 
O objetivo é que a planilha facilite a vida do usuário que precisa gerenciar um pequena grupo de funcionários.
Salve como Pasta de Trabalho Habilitada para Macro do Excel (*.xlsm)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</si>
</sst>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-&quot;R$&quot;\ * #,##0.00_-;\-&quot;R$&quot;\ * #,##0.00_-;_-&quot;R$&quot;\ * &quot;-&quot;??_-;_-@_-"/>
    <numFmt numFmtId="164" formatCode="_-[$R$-416]\ * #,##0.00_-;\-[$R$-416]\ * #,##0.00_-;_-[$R$-416]\ * &quot;-&quot;??_-;_-@_-"/>
    <numFmt numFmtId="165" formatCode="&quot;R$&quot;\ #,##0.00"/>
    <numFmt numFmtId="166" formatCode="ddd"/>
    <numFmt numFmtId="167" formatCode="[h]:mm;@"/>
    <numFmt numFmtId="168" formatCode="###0;###0"/>
    <numFmt numFmtId="169" formatCode="mm/yyyy"/>
    <numFmt numFmtId="170" formatCode="###000;###000"/>
    <numFmt numFmtId="171" formatCode="0000"/>
    <numFmt numFmtId="172" formatCode="0.0%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11"/>
      <color theme="5"/>
      <name val="Calibri"/>
      <family val="2"/>
      <scheme val="minor"/>
    </font>
    <font>
      <b/>
      <sz val="11"/>
      <color rgb="FF92D05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Times New Roman"/>
      <family val="1"/>
    </font>
    <font>
      <b/>
      <sz val="8"/>
      <color rgb="FFFF0000"/>
      <name val="Arial"/>
      <family val="2"/>
    </font>
    <font>
      <sz val="8"/>
      <color theme="6"/>
      <name val="Arial"/>
      <family val="2"/>
    </font>
    <font>
      <sz val="8"/>
      <color theme="6"/>
      <name val="Times New Roman"/>
      <family val="1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theme="6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2" tint="-9.9948118533890809E-2"/>
      </bottom>
      <diagonal/>
    </border>
    <border>
      <left style="medium">
        <color theme="2" tint="-9.9948118533890809E-2"/>
      </left>
      <right style="medium">
        <color theme="2" tint="-9.9948118533890809E-2"/>
      </right>
      <top style="medium">
        <color theme="2" tint="-9.9948118533890809E-2"/>
      </top>
      <bottom style="medium">
        <color theme="2" tint="-9.9948118533890809E-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7" fillId="0" borderId="0" applyNumberFormat="0" applyFill="0" applyBorder="0" applyAlignment="0" applyProtection="0"/>
  </cellStyleXfs>
  <cellXfs count="138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/>
    <xf numFmtId="165" fontId="0" fillId="0" borderId="0" xfId="0" applyNumberFormat="1" applyAlignment="1">
      <alignment horizontal="center"/>
    </xf>
    <xf numFmtId="0" fontId="4" fillId="0" borderId="0" xfId="0" applyFont="1" applyAlignment="1">
      <alignment horizontal="center"/>
    </xf>
    <xf numFmtId="166" fontId="0" fillId="0" borderId="0" xfId="0" applyNumberFormat="1" applyAlignment="1">
      <alignment horizontal="center"/>
    </xf>
    <xf numFmtId="0" fontId="6" fillId="0" borderId="0" xfId="0" applyFont="1" applyAlignment="1">
      <alignment horizontal="centerContinuous" vertical="center"/>
    </xf>
    <xf numFmtId="0" fontId="4" fillId="3" borderId="3" xfId="0" applyFont="1" applyFill="1" applyBorder="1" applyAlignment="1">
      <alignment horizontal="center"/>
    </xf>
    <xf numFmtId="14" fontId="0" fillId="0" borderId="3" xfId="0" applyNumberFormat="1" applyBorder="1" applyAlignment="1">
      <alignment horizontal="center"/>
    </xf>
    <xf numFmtId="20" fontId="0" fillId="0" borderId="0" xfId="0" applyNumberFormat="1"/>
    <xf numFmtId="0" fontId="0" fillId="0" borderId="3" xfId="0" applyBorder="1" applyAlignment="1">
      <alignment horizontal="center"/>
    </xf>
    <xf numFmtId="0" fontId="4" fillId="4" borderId="4" xfId="0" applyFont="1" applyFill="1" applyBorder="1" applyAlignment="1">
      <alignment horizontal="center" vertical="center"/>
    </xf>
    <xf numFmtId="164" fontId="0" fillId="0" borderId="4" xfId="0" applyNumberFormat="1" applyBorder="1" applyAlignment="1">
      <alignment vertical="center"/>
    </xf>
    <xf numFmtId="0" fontId="0" fillId="0" borderId="0" xfId="0" applyAlignment="1">
      <alignment vertical="center"/>
    </xf>
    <xf numFmtId="20" fontId="0" fillId="0" borderId="0" xfId="0" applyNumberFormat="1" applyAlignment="1">
      <alignment vertical="center"/>
    </xf>
    <xf numFmtId="0" fontId="3" fillId="5" borderId="0" xfId="0" applyFont="1" applyFill="1"/>
    <xf numFmtId="0" fontId="7" fillId="6" borderId="0" xfId="0" applyFont="1" applyFill="1" applyAlignment="1">
      <alignment horizontal="centerContinuous" vertical="center"/>
    </xf>
    <xf numFmtId="0" fontId="8" fillId="0" borderId="5" xfId="0" applyFont="1" applyBorder="1"/>
    <xf numFmtId="0" fontId="4" fillId="0" borderId="5" xfId="0" applyFont="1" applyBorder="1"/>
    <xf numFmtId="0" fontId="8" fillId="0" borderId="0" xfId="0" applyFont="1" applyAlignment="1">
      <alignment horizontal="center"/>
    </xf>
    <xf numFmtId="0" fontId="4" fillId="0" borderId="6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14" fontId="4" fillId="0" borderId="6" xfId="0" applyNumberFormat="1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20" fontId="10" fillId="0" borderId="0" xfId="0" applyNumberFormat="1" applyFont="1" applyAlignment="1">
      <alignment horizontal="center" vertical="center"/>
    </xf>
    <xf numFmtId="167" fontId="10" fillId="0" borderId="0" xfId="0" applyNumberFormat="1" applyFont="1" applyAlignment="1">
      <alignment horizontal="center" vertical="center"/>
    </xf>
    <xf numFmtId="167" fontId="11" fillId="0" borderId="0" xfId="0" quotePrefix="1" applyNumberFormat="1" applyFont="1" applyAlignment="1">
      <alignment horizontal="center" vertical="center"/>
    </xf>
    <xf numFmtId="165" fontId="10" fillId="0" borderId="0" xfId="0" applyNumberFormat="1" applyFont="1" applyAlignment="1">
      <alignment horizontal="center"/>
    </xf>
    <xf numFmtId="0" fontId="5" fillId="0" borderId="0" xfId="0" applyFont="1"/>
    <xf numFmtId="14" fontId="0" fillId="0" borderId="0" xfId="0" applyNumberFormat="1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20" fontId="12" fillId="0" borderId="0" xfId="0" applyNumberFormat="1" applyFont="1" applyAlignment="1">
      <alignment horizontal="center" vertical="center"/>
    </xf>
    <xf numFmtId="20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20" fontId="14" fillId="0" borderId="0" xfId="0" applyNumberFormat="1" applyFont="1" applyAlignment="1">
      <alignment horizontal="center" vertical="center"/>
    </xf>
    <xf numFmtId="0" fontId="17" fillId="0" borderId="0" xfId="0" applyFont="1" applyAlignment="1">
      <alignment vertical="top"/>
    </xf>
    <xf numFmtId="0" fontId="17" fillId="0" borderId="0" xfId="0" applyFont="1" applyAlignment="1">
      <alignment horizontal="center" vertical="top"/>
    </xf>
    <xf numFmtId="0" fontId="17" fillId="0" borderId="0" xfId="0" applyFont="1" applyAlignment="1">
      <alignment horizontal="center" vertical="top" wrapText="1"/>
    </xf>
    <xf numFmtId="0" fontId="18" fillId="2" borderId="1" xfId="0" applyFont="1" applyFill="1" applyBorder="1" applyAlignment="1">
      <alignment vertical="top"/>
    </xf>
    <xf numFmtId="0" fontId="18" fillId="2" borderId="2" xfId="0" applyFont="1" applyFill="1" applyBorder="1" applyAlignment="1">
      <alignment vertical="top"/>
    </xf>
    <xf numFmtId="0" fontId="18" fillId="2" borderId="2" xfId="0" applyFont="1" applyFill="1" applyBorder="1" applyAlignment="1">
      <alignment horizontal="center" vertical="top"/>
    </xf>
    <xf numFmtId="0" fontId="3" fillId="0" borderId="0" xfId="0" applyFont="1"/>
    <xf numFmtId="0" fontId="19" fillId="0" borderId="4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168" fontId="19" fillId="0" borderId="4" xfId="0" applyNumberFormat="1" applyFont="1" applyBorder="1" applyAlignment="1">
      <alignment horizontal="center" vertical="center" wrapText="1"/>
    </xf>
    <xf numFmtId="168" fontId="19" fillId="0" borderId="7" xfId="0" applyNumberFormat="1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top" wrapText="1"/>
    </xf>
    <xf numFmtId="0" fontId="20" fillId="0" borderId="7" xfId="0" applyFont="1" applyBorder="1" applyAlignment="1">
      <alignment horizontal="center" vertical="top" wrapText="1"/>
    </xf>
    <xf numFmtId="0" fontId="19" fillId="0" borderId="12" xfId="0" applyFont="1" applyBorder="1" applyAlignment="1">
      <alignment horizontal="center" vertical="top" wrapText="1"/>
    </xf>
    <xf numFmtId="0" fontId="19" fillId="0" borderId="4" xfId="0" applyFont="1" applyBorder="1" applyAlignment="1">
      <alignment horizontal="center" vertical="top" wrapText="1"/>
    </xf>
    <xf numFmtId="9" fontId="19" fillId="0" borderId="4" xfId="2" applyFont="1" applyBorder="1" applyAlignment="1">
      <alignment horizontal="center" vertical="center" wrapText="1"/>
    </xf>
    <xf numFmtId="2" fontId="21" fillId="0" borderId="4" xfId="1" applyNumberFormat="1" applyFont="1" applyBorder="1" applyAlignment="1">
      <alignment horizontal="center" vertical="center" wrapText="1"/>
    </xf>
    <xf numFmtId="2" fontId="22" fillId="0" borderId="7" xfId="1" applyNumberFormat="1" applyFont="1" applyFill="1" applyBorder="1" applyAlignment="1">
      <alignment horizontal="center" vertical="center" wrapText="1"/>
    </xf>
    <xf numFmtId="169" fontId="19" fillId="0" borderId="4" xfId="0" applyNumberFormat="1" applyFont="1" applyBorder="1" applyAlignment="1">
      <alignment horizontal="center" vertical="center" wrapText="1"/>
    </xf>
    <xf numFmtId="0" fontId="19" fillId="3" borderId="4" xfId="0" applyFont="1" applyFill="1" applyBorder="1" applyAlignment="1">
      <alignment horizontal="center" vertical="center" wrapText="1"/>
    </xf>
    <xf numFmtId="9" fontId="19" fillId="3" borderId="4" xfId="2" applyFont="1" applyFill="1" applyBorder="1" applyAlignment="1">
      <alignment horizontal="center" vertical="center" wrapText="1"/>
    </xf>
    <xf numFmtId="2" fontId="21" fillId="3" borderId="4" xfId="1" applyNumberFormat="1" applyFont="1" applyFill="1" applyBorder="1" applyAlignment="1">
      <alignment horizontal="center" vertical="center" wrapText="1"/>
    </xf>
    <xf numFmtId="2" fontId="22" fillId="3" borderId="7" xfId="1" applyNumberFormat="1" applyFont="1" applyFill="1" applyBorder="1" applyAlignment="1">
      <alignment horizontal="center" vertical="center" wrapText="1"/>
    </xf>
    <xf numFmtId="169" fontId="19" fillId="3" borderId="4" xfId="0" applyNumberFormat="1" applyFont="1" applyFill="1" applyBorder="1" applyAlignment="1">
      <alignment horizontal="center" vertical="center" wrapText="1"/>
    </xf>
    <xf numFmtId="2" fontId="19" fillId="3" borderId="4" xfId="0" applyNumberFormat="1" applyFont="1" applyFill="1" applyBorder="1" applyAlignment="1">
      <alignment horizontal="center" vertical="center" wrapText="1"/>
    </xf>
    <xf numFmtId="167" fontId="19" fillId="3" borderId="4" xfId="0" applyNumberFormat="1" applyFont="1" applyFill="1" applyBorder="1" applyAlignment="1">
      <alignment horizontal="center" vertical="center" wrapText="1"/>
    </xf>
    <xf numFmtId="2" fontId="23" fillId="3" borderId="4" xfId="0" applyNumberFormat="1" applyFont="1" applyFill="1" applyBorder="1" applyAlignment="1">
      <alignment horizontal="center" vertical="center" wrapText="1"/>
    </xf>
    <xf numFmtId="2" fontId="24" fillId="3" borderId="4" xfId="1" applyNumberFormat="1" applyFont="1" applyFill="1" applyBorder="1" applyAlignment="1">
      <alignment horizontal="center" vertical="center" wrapText="1"/>
    </xf>
    <xf numFmtId="2" fontId="19" fillId="0" borderId="4" xfId="0" applyNumberFormat="1" applyFont="1" applyBorder="1" applyAlignment="1">
      <alignment horizontal="center" vertical="center" wrapText="1"/>
    </xf>
    <xf numFmtId="167" fontId="19" fillId="0" borderId="4" xfId="0" applyNumberFormat="1" applyFont="1" applyBorder="1" applyAlignment="1">
      <alignment horizontal="center" vertical="center" wrapText="1"/>
    </xf>
    <xf numFmtId="4" fontId="19" fillId="0" borderId="4" xfId="0" applyNumberFormat="1" applyFont="1" applyBorder="1" applyAlignment="1">
      <alignment horizontal="center" vertical="center" wrapText="1"/>
    </xf>
    <xf numFmtId="2" fontId="21" fillId="3" borderId="4" xfId="1" quotePrefix="1" applyNumberFormat="1" applyFont="1" applyFill="1" applyBorder="1" applyAlignment="1">
      <alignment horizontal="center" vertical="center" wrapText="1"/>
    </xf>
    <xf numFmtId="20" fontId="19" fillId="0" borderId="4" xfId="0" applyNumberFormat="1" applyFont="1" applyBorder="1" applyAlignment="1">
      <alignment horizontal="center" vertical="center" wrapText="1"/>
    </xf>
    <xf numFmtId="2" fontId="21" fillId="0" borderId="4" xfId="1" applyNumberFormat="1" applyFont="1" applyFill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top" wrapText="1"/>
    </xf>
    <xf numFmtId="171" fontId="25" fillId="0" borderId="4" xfId="0" applyNumberFormat="1" applyFont="1" applyBorder="1" applyAlignment="1">
      <alignment horizontal="center" vertical="top" wrapText="1"/>
    </xf>
    <xf numFmtId="44" fontId="26" fillId="0" borderId="4" xfId="1" applyFont="1" applyFill="1" applyBorder="1" applyAlignment="1">
      <alignment horizontal="center" vertical="top" wrapText="1"/>
    </xf>
    <xf numFmtId="44" fontId="22" fillId="0" borderId="7" xfId="1" applyFont="1" applyFill="1" applyBorder="1" applyAlignment="1">
      <alignment horizontal="center" vertical="top" wrapText="1"/>
    </xf>
    <xf numFmtId="44" fontId="0" fillId="0" borderId="0" xfId="0" applyNumberFormat="1"/>
    <xf numFmtId="164" fontId="4" fillId="0" borderId="0" xfId="0" applyNumberFormat="1" applyFont="1"/>
    <xf numFmtId="0" fontId="4" fillId="0" borderId="0" xfId="0" applyFont="1"/>
    <xf numFmtId="167" fontId="4" fillId="0" borderId="0" xfId="0" applyNumberFormat="1" applyFont="1"/>
    <xf numFmtId="20" fontId="4" fillId="0" borderId="0" xfId="0" applyNumberFormat="1" applyFont="1"/>
    <xf numFmtId="164" fontId="0" fillId="0" borderId="0" xfId="0" applyNumberFormat="1"/>
    <xf numFmtId="44" fontId="0" fillId="0" borderId="0" xfId="1" applyFont="1"/>
    <xf numFmtId="0" fontId="4" fillId="7" borderId="7" xfId="0" applyFont="1" applyFill="1" applyBorder="1" applyAlignment="1">
      <alignment horizontal="centerContinuous" vertical="center"/>
    </xf>
    <xf numFmtId="0" fontId="4" fillId="7" borderId="9" xfId="0" applyFont="1" applyFill="1" applyBorder="1" applyAlignment="1">
      <alignment horizontal="centerContinuous" vertical="center"/>
    </xf>
    <xf numFmtId="0" fontId="4" fillId="7" borderId="8" xfId="0" applyFont="1" applyFill="1" applyBorder="1" applyAlignment="1">
      <alignment horizontal="centerContinuous" vertical="center"/>
    </xf>
    <xf numFmtId="0" fontId="4" fillId="8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0" fillId="0" borderId="4" xfId="1" applyNumberFormat="1" applyFont="1" applyBorder="1" applyAlignment="1">
      <alignment horizontal="center" vertical="center"/>
    </xf>
    <xf numFmtId="172" fontId="0" fillId="0" borderId="4" xfId="0" applyNumberFormat="1" applyBorder="1" applyAlignment="1">
      <alignment horizontal="center" vertical="center"/>
    </xf>
    <xf numFmtId="44" fontId="0" fillId="0" borderId="4" xfId="1" applyFont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 wrapText="1"/>
    </xf>
    <xf numFmtId="44" fontId="0" fillId="0" borderId="4" xfId="1" applyFont="1" applyBorder="1"/>
    <xf numFmtId="172" fontId="0" fillId="0" borderId="4" xfId="2" applyNumberFormat="1" applyFont="1" applyBorder="1" applyAlignment="1">
      <alignment horizontal="center"/>
    </xf>
    <xf numFmtId="0" fontId="4" fillId="8" borderId="7" xfId="0" applyFont="1" applyFill="1" applyBorder="1" applyAlignment="1">
      <alignment horizontal="centerContinuous" vertical="center"/>
    </xf>
    <xf numFmtId="0" fontId="4" fillId="8" borderId="8" xfId="0" applyFont="1" applyFill="1" applyBorder="1" applyAlignment="1">
      <alignment horizontal="centerContinuous" vertical="center"/>
    </xf>
    <xf numFmtId="0" fontId="0" fillId="0" borderId="0" xfId="0" applyAlignment="1">
      <alignment horizontal="center" wrapText="1"/>
    </xf>
    <xf numFmtId="0" fontId="0" fillId="0" borderId="4" xfId="0" applyBorder="1" applyAlignment="1">
      <alignment horizontal="center"/>
    </xf>
    <xf numFmtId="9" fontId="0" fillId="0" borderId="4" xfId="0" applyNumberFormat="1" applyBorder="1" applyAlignment="1">
      <alignment horizontal="center"/>
    </xf>
    <xf numFmtId="9" fontId="4" fillId="3" borderId="0" xfId="2" applyFont="1" applyFill="1" applyAlignment="1">
      <alignment horizontal="center"/>
    </xf>
    <xf numFmtId="0" fontId="2" fillId="9" borderId="4" xfId="0" applyFont="1" applyFill="1" applyBorder="1" applyAlignment="1">
      <alignment horizontal="center"/>
    </xf>
    <xf numFmtId="9" fontId="4" fillId="0" borderId="4" xfId="0" applyNumberFormat="1" applyFont="1" applyBorder="1" applyAlignment="1">
      <alignment horizontal="center"/>
    </xf>
    <xf numFmtId="167" fontId="0" fillId="0" borderId="0" xfId="0" applyNumberFormat="1"/>
    <xf numFmtId="20" fontId="0" fillId="0" borderId="0" xfId="0" quotePrefix="1" applyNumberFormat="1" applyAlignment="1">
      <alignment horizontal="center" vertical="center"/>
    </xf>
    <xf numFmtId="20" fontId="16" fillId="0" borderId="0" xfId="0" applyNumberFormat="1" applyFont="1" applyAlignment="1">
      <alignment horizontal="center" vertical="center"/>
    </xf>
    <xf numFmtId="0" fontId="27" fillId="0" borderId="0" xfId="3" applyAlignment="1">
      <alignment horizontal="center"/>
    </xf>
    <xf numFmtId="20" fontId="4" fillId="0" borderId="0" xfId="0" applyNumberFormat="1" applyFont="1" applyAlignment="1">
      <alignment horizontal="centerContinuous" vertical="center"/>
    </xf>
    <xf numFmtId="170" fontId="25" fillId="0" borderId="4" xfId="0" quotePrefix="1" applyNumberFormat="1" applyFont="1" applyBorder="1" applyAlignment="1">
      <alignment horizontal="center" vertical="top" wrapText="1"/>
    </xf>
    <xf numFmtId="20" fontId="17" fillId="0" borderId="0" xfId="0" applyNumberFormat="1" applyFont="1" applyAlignment="1">
      <alignment horizontal="center" vertical="top"/>
    </xf>
    <xf numFmtId="20" fontId="3" fillId="0" borderId="0" xfId="0" applyNumberFormat="1" applyFont="1" applyAlignment="1">
      <alignment horizontal="center" vertical="center"/>
    </xf>
    <xf numFmtId="20" fontId="28" fillId="0" borderId="0" xfId="0" applyNumberFormat="1" applyFont="1" applyAlignment="1">
      <alignment horizontal="center" vertical="center"/>
    </xf>
    <xf numFmtId="20" fontId="14" fillId="0" borderId="0" xfId="0" quotePrefix="1" applyNumberFormat="1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14" fontId="4" fillId="0" borderId="13" xfId="0" applyNumberFormat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19" fillId="0" borderId="7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168" fontId="19" fillId="0" borderId="7" xfId="0" applyNumberFormat="1" applyFont="1" applyBorder="1" applyAlignment="1">
      <alignment horizontal="center" vertical="center" wrapText="1"/>
    </xf>
    <xf numFmtId="168" fontId="19" fillId="0" borderId="9" xfId="0" applyNumberFormat="1" applyFont="1" applyBorder="1" applyAlignment="1">
      <alignment horizontal="center" vertical="center" wrapText="1"/>
    </xf>
    <xf numFmtId="168" fontId="19" fillId="0" borderId="8" xfId="0" applyNumberFormat="1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top" wrapText="1"/>
    </xf>
    <xf numFmtId="0" fontId="20" fillId="0" borderId="9" xfId="0" applyFont="1" applyBorder="1" applyAlignment="1">
      <alignment horizontal="center" vertical="top" wrapText="1"/>
    </xf>
    <xf numFmtId="0" fontId="20" fillId="0" borderId="8" xfId="0" applyFont="1" applyBorder="1" applyAlignment="1">
      <alignment horizontal="center" vertical="top" wrapText="1"/>
    </xf>
    <xf numFmtId="0" fontId="19" fillId="0" borderId="10" xfId="0" applyFont="1" applyBorder="1" applyAlignment="1">
      <alignment horizontal="center" vertical="top" wrapText="1"/>
    </xf>
    <xf numFmtId="0" fontId="19" fillId="0" borderId="11" xfId="0" applyFont="1" applyBorder="1" applyAlignment="1">
      <alignment horizontal="center" vertical="top" wrapText="1"/>
    </xf>
    <xf numFmtId="0" fontId="19" fillId="3" borderId="7" xfId="0" applyFont="1" applyFill="1" applyBorder="1" applyAlignment="1">
      <alignment horizontal="center" vertical="center" wrapText="1"/>
    </xf>
    <xf numFmtId="0" fontId="19" fillId="3" borderId="8" xfId="0" applyFont="1" applyFill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top" wrapText="1"/>
    </xf>
    <xf numFmtId="170" fontId="25" fillId="0" borderId="4" xfId="0" applyNumberFormat="1" applyFont="1" applyBorder="1" applyAlignment="1">
      <alignment horizontal="center" vertical="top" wrapText="1"/>
    </xf>
    <xf numFmtId="44" fontId="26" fillId="0" borderId="4" xfId="1" applyFont="1" applyFill="1" applyBorder="1" applyAlignment="1">
      <alignment horizontal="center" vertical="top" wrapText="1"/>
    </xf>
    <xf numFmtId="0" fontId="0" fillId="10" borderId="0" xfId="0" applyFill="1"/>
    <xf numFmtId="0" fontId="17" fillId="10" borderId="14" xfId="0" applyFont="1" applyFill="1" applyBorder="1" applyAlignment="1">
      <alignment horizontal="center" vertical="center" wrapText="1"/>
    </xf>
  </cellXfs>
  <cellStyles count="4">
    <cellStyle name="Hiperlink" xfId="3" builtinId="8"/>
    <cellStyle name="Moeda" xfId="1" builtinId="4"/>
    <cellStyle name="Normal" xfId="0" builtinId="0"/>
    <cellStyle name="Porcentagem" xfId="2" builtinId="5"/>
  </cellStyles>
  <dxfs count="37">
    <dxf>
      <fill>
        <patternFill>
          <bgColor rgb="FFFFFF00"/>
        </patternFill>
      </fill>
    </dxf>
    <dxf>
      <font>
        <b/>
        <i val="0"/>
      </font>
      <fill>
        <patternFill>
          <bgColor rgb="FFFFFF00"/>
        </patternFill>
      </fill>
    </dxf>
    <dxf>
      <alignment horizontal="center" vertical="bottom" textRotation="0" wrapText="0" indent="0" justifyLastLine="0" shrinkToFit="0" readingOrder="0"/>
    </dxf>
    <dxf>
      <numFmt numFmtId="166" formatCode="ddd"/>
      <alignment horizontal="center" vertical="bottom" textRotation="0" wrapText="0" indent="0" justifyLastLine="0" shrinkToFit="0" readingOrder="0"/>
    </dxf>
    <dxf>
      <numFmt numFmtId="19" formatCode="dd/mm/yyyy"/>
    </dxf>
    <dxf>
      <numFmt numFmtId="19" formatCode="dd/mm/yyyy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25" formatCode="hh:mm"/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rgb="FFFF0000"/>
        <name val="Calibri"/>
        <family val="2"/>
        <scheme val="minor"/>
      </font>
      <numFmt numFmtId="25" formatCode="hh:mm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family val="2"/>
        <scheme val="minor"/>
      </font>
      <numFmt numFmtId="25" formatCode="hh:mm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92D050"/>
        <name val="Calibri"/>
        <family val="2"/>
        <scheme val="minor"/>
      </font>
      <numFmt numFmtId="25" formatCode="hh:mm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Calibri"/>
        <family val="2"/>
        <scheme val="minor"/>
      </font>
      <numFmt numFmtId="25" formatCode="hh:mm"/>
      <alignment horizontal="center" vertical="center" textRotation="0" wrapText="0" indent="0" justifyLastLine="0" shrinkToFit="0" readingOrder="0"/>
    </dxf>
    <dxf>
      <numFmt numFmtId="25" formatCode="hh:mm"/>
      <alignment horizontal="center" vertical="center" textRotation="0" wrapText="0" indent="0" justifyLastLine="0" shrinkToFit="0" readingOrder="0"/>
    </dxf>
    <dxf>
      <numFmt numFmtId="25" formatCode="hh:mm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5"/>
        <name val="Calibri"/>
        <family val="2"/>
        <scheme val="minor"/>
      </font>
      <numFmt numFmtId="25" formatCode="hh:mm"/>
      <alignment horizontal="center" vertical="center" textRotation="0" wrapText="0" indent="0" justifyLastLine="0" shrinkToFit="0" readingOrder="0"/>
    </dxf>
    <dxf>
      <numFmt numFmtId="25" formatCode="hh:mm"/>
      <alignment horizontal="center" vertical="center" textRotation="0" wrapText="0" indent="0" justifyLastLine="0" shrinkToFit="0" readingOrder="0"/>
    </dxf>
    <dxf>
      <numFmt numFmtId="25" formatCode="hh:mm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5"/>
        <name val="Calibri"/>
        <family val="2"/>
        <scheme val="minor"/>
      </font>
      <numFmt numFmtId="25" formatCode="hh:mm"/>
      <alignment horizontal="center" vertical="center" textRotation="0" wrapText="0" indent="0" justifyLastLine="0" shrinkToFit="0" readingOrder="0"/>
    </dxf>
    <dxf>
      <numFmt numFmtId="25" formatCode="hh:mm"/>
      <alignment horizontal="center" vertical="center" textRotation="0" wrapText="0" indent="0" justifyLastLine="0" shrinkToFit="0" readingOrder="0"/>
    </dxf>
    <dxf>
      <numFmt numFmtId="25" formatCode="hh:mm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5"/>
        <name val="Calibri"/>
        <family val="2"/>
        <scheme val="minor"/>
      </font>
      <numFmt numFmtId="25" formatCode="hh:mm"/>
      <alignment horizontal="center" vertical="center" textRotation="0" wrapText="0" indent="0" justifyLastLine="0" shrinkToFit="0" readingOrder="0"/>
    </dxf>
    <dxf>
      <numFmt numFmtId="19" formatCode="dd/mm/yyyy"/>
      <alignment horizontal="center" vertical="center" textRotation="0" wrapText="0" indent="0" justifyLastLine="0" shrinkToFit="0" readingOrder="0"/>
    </dxf>
    <dxf>
      <font>
        <b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top" textRotation="0" wrapText="0" indent="0" justifyLastLine="0" shrinkToFit="0" readingOrder="0"/>
    </dxf>
    <dxf>
      <numFmt numFmtId="19" formatCode="dd/mm/yyyy"/>
      <alignment horizontal="center" vertical="bottom" textRotation="0" wrapText="0" indent="0" justifyLastLine="0" shrinkToFit="0" readingOrder="0"/>
    </dxf>
    <dxf>
      <numFmt numFmtId="165" formatCode="&quot;R$&quot;\ #,##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#'Lan&#231;amento de Horas'!A1"/><Relationship Id="rId7" Type="http://schemas.openxmlformats.org/officeDocument/2006/relationships/hyperlink" Target="#'Contra-Cheque'!A1"/><Relationship Id="rId2" Type="http://schemas.openxmlformats.org/officeDocument/2006/relationships/image" Target="../media/image1.png"/><Relationship Id="rId1" Type="http://schemas.openxmlformats.org/officeDocument/2006/relationships/hyperlink" Target="#F_Ponto!A1"/><Relationship Id="rId6" Type="http://schemas.openxmlformats.org/officeDocument/2006/relationships/image" Target="../media/image3.png"/><Relationship Id="rId5" Type="http://schemas.openxmlformats.org/officeDocument/2006/relationships/hyperlink" Target="#Funcionarios!A1"/><Relationship Id="rId4" Type="http://schemas.openxmlformats.org/officeDocument/2006/relationships/image" Target="../media/image2.png"/><Relationship Id="rId9" Type="http://schemas.openxmlformats.org/officeDocument/2006/relationships/hyperlink" Target="http://www.pngall.com/gold-coin-png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Menu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Menu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Menu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Menu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Menu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Menu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Menu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Menu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Menu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15875</xdr:colOff>
      <xdr:row>1</xdr:row>
      <xdr:rowOff>1768</xdr:rowOff>
    </xdr:from>
    <xdr:to>
      <xdr:col>36</xdr:col>
      <xdr:colOff>0</xdr:colOff>
      <xdr:row>59</xdr:row>
      <xdr:rowOff>0</xdr:rowOff>
    </xdr:to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6111706B-4C46-4632-956F-7A021DF39EF5}"/>
            </a:ext>
          </a:extLst>
        </xdr:cNvPr>
        <xdr:cNvSpPr/>
      </xdr:nvSpPr>
      <xdr:spPr>
        <a:xfrm>
          <a:off x="79375" y="33518"/>
          <a:ext cx="21097875" cy="11047232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2</xdr:col>
      <xdr:colOff>396874</xdr:colOff>
      <xdr:row>2</xdr:row>
      <xdr:rowOff>142875</xdr:rowOff>
    </xdr:from>
    <xdr:to>
      <xdr:col>23</xdr:col>
      <xdr:colOff>507999</xdr:colOff>
      <xdr:row>55</xdr:row>
      <xdr:rowOff>63500</xdr:rowOff>
    </xdr:to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C075D6DC-2DA8-4761-8AC5-51CAAB42A55E}"/>
            </a:ext>
          </a:extLst>
        </xdr:cNvPr>
        <xdr:cNvSpPr txBox="1"/>
      </xdr:nvSpPr>
      <xdr:spPr>
        <a:xfrm>
          <a:off x="1063624" y="365125"/>
          <a:ext cx="12779375" cy="10017125"/>
        </a:xfrm>
        <a:prstGeom prst="rect">
          <a:avLst/>
        </a:prstGeom>
        <a:noFill/>
        <a:ln w="9525" cmpd="sng">
          <a:noFill/>
        </a:ln>
        <a:effectLst>
          <a:outerShdw blurRad="190500" dist="228600" dir="2700000" algn="ctr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6000" b="1">
              <a:solidFill>
                <a:sysClr val="windowText" lastClr="000000"/>
              </a:solidFill>
              <a:latin typeface="Algerian" panose="04020705040A02060702" pitchFamily="82" charset="0"/>
            </a:rPr>
            <a:t>PLANILHA DE CONTROLE</a:t>
          </a:r>
          <a:r>
            <a:rPr lang="pt-BR" sz="6000" b="1" baseline="0">
              <a:solidFill>
                <a:sysClr val="windowText" lastClr="000000"/>
              </a:solidFill>
              <a:latin typeface="Algerian" panose="04020705040A02060702" pitchFamily="82" charset="0"/>
            </a:rPr>
            <a:t> </a:t>
          </a:r>
        </a:p>
        <a:p>
          <a:pPr algn="ctr"/>
          <a:r>
            <a:rPr lang="pt-BR" sz="6000" b="1" baseline="0">
              <a:solidFill>
                <a:sysClr val="windowText" lastClr="000000"/>
              </a:solidFill>
              <a:latin typeface="Algerian" panose="04020705040A02060702" pitchFamily="82" charset="0"/>
            </a:rPr>
            <a:t>DE HORAS TRABALHADAS</a:t>
          </a:r>
          <a:endParaRPr lang="pt-BR" sz="6000" b="1">
            <a:solidFill>
              <a:sysClr val="windowText" lastClr="000000"/>
            </a:solidFill>
            <a:latin typeface="Algerian" panose="04020705040A02060702" pitchFamily="82" charset="0"/>
          </a:endParaRPr>
        </a:p>
      </xdr:txBody>
    </xdr:sp>
    <xdr:clientData/>
  </xdr:twoCellAnchor>
  <xdr:twoCellAnchor>
    <xdr:from>
      <xdr:col>26</xdr:col>
      <xdr:colOff>190500</xdr:colOff>
      <xdr:row>29</xdr:row>
      <xdr:rowOff>182895</xdr:rowOff>
    </xdr:from>
    <xdr:to>
      <xdr:col>33</xdr:col>
      <xdr:colOff>384950</xdr:colOff>
      <xdr:row>42</xdr:row>
      <xdr:rowOff>71595</xdr:rowOff>
    </xdr:to>
    <xdr:grpSp>
      <xdr:nvGrpSpPr>
        <xdr:cNvPr id="18" name="Agrupar 1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65044E6-E9BD-1DF4-BBED-C5654F44D664}"/>
            </a:ext>
          </a:extLst>
        </xdr:cNvPr>
        <xdr:cNvGrpSpPr/>
      </xdr:nvGrpSpPr>
      <xdr:grpSpPr>
        <a:xfrm>
          <a:off x="15335250" y="5548645"/>
          <a:ext cx="4417200" cy="2365200"/>
          <a:chOff x="10019645" y="3417916"/>
          <a:chExt cx="2110010" cy="1464960"/>
        </a:xfrm>
      </xdr:grpSpPr>
      <xdr:sp macro="" textlink="">
        <xdr:nvSpPr>
          <xdr:cNvPr id="5" name="Retângulo: Cantos Arredondados 4">
            <a:extLst>
              <a:ext uri="{FF2B5EF4-FFF2-40B4-BE49-F238E27FC236}">
                <a16:creationId xmlns:a16="http://schemas.microsoft.com/office/drawing/2014/main" id="{82FD0BB8-B334-16CD-772E-F8898F7E937E}"/>
              </a:ext>
            </a:extLst>
          </xdr:cNvPr>
          <xdr:cNvSpPr/>
        </xdr:nvSpPr>
        <xdr:spPr>
          <a:xfrm>
            <a:off x="10019645" y="3417916"/>
            <a:ext cx="2110010" cy="1464960"/>
          </a:xfrm>
          <a:prstGeom prst="roundRect">
            <a:avLst/>
          </a:prstGeom>
          <a:solidFill>
            <a:schemeClr val="bg1"/>
          </a:solidFill>
          <a:ln>
            <a:noFill/>
          </a:ln>
          <a:effectLst>
            <a:outerShdw blurRad="44450" dist="27940" dir="5400000" algn="ctr">
              <a:srgbClr val="000000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lvl="0" algn="ctr"/>
            <a:endParaRPr lang="pt-BR" sz="1100" b="1">
              <a:solidFill>
                <a:schemeClr val="tx2"/>
              </a:solidFill>
            </a:endParaRPr>
          </a:p>
          <a:p>
            <a:pPr lvl="0" algn="ctr"/>
            <a:endParaRPr lang="pt-BR" sz="1100" b="1">
              <a:solidFill>
                <a:schemeClr val="tx2"/>
              </a:solidFill>
            </a:endParaRPr>
          </a:p>
          <a:p>
            <a:pPr lvl="0" algn="ctr"/>
            <a:endParaRPr lang="pt-BR" sz="1100" b="1">
              <a:solidFill>
                <a:schemeClr val="tx2"/>
              </a:solidFill>
            </a:endParaRPr>
          </a:p>
          <a:p>
            <a:pPr lvl="0" algn="ctr"/>
            <a:endParaRPr lang="pt-BR" sz="2400" b="1">
              <a:solidFill>
                <a:schemeClr val="tx2"/>
              </a:solidFill>
            </a:endParaRPr>
          </a:p>
          <a:p>
            <a:pPr lvl="0" algn="ctr"/>
            <a:endParaRPr lang="pt-BR" sz="2400" b="1">
              <a:solidFill>
                <a:schemeClr val="tx2"/>
              </a:solidFill>
            </a:endParaRPr>
          </a:p>
          <a:p>
            <a:pPr lvl="0" algn="ctr"/>
            <a:r>
              <a:rPr lang="pt-BR" sz="2800" b="1">
                <a:solidFill>
                  <a:schemeClr val="tx2"/>
                </a:solidFill>
              </a:rPr>
              <a:t>FOLHA DE PONTO</a:t>
            </a:r>
          </a:p>
        </xdr:txBody>
      </xdr:sp>
      <xdr:pic>
        <xdr:nvPicPr>
          <xdr:cNvPr id="6" name="Imagem 5">
            <a:extLst>
              <a:ext uri="{FF2B5EF4-FFF2-40B4-BE49-F238E27FC236}">
                <a16:creationId xmlns:a16="http://schemas.microsoft.com/office/drawing/2014/main" id="{561F3969-1FC8-1DB5-9389-1AE8D6F0A10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848372" y="3610743"/>
            <a:ext cx="584755" cy="693494"/>
          </a:xfrm>
          <a:prstGeom prst="rect">
            <a:avLst/>
          </a:prstGeom>
        </xdr:spPr>
      </xdr:pic>
    </xdr:grpSp>
    <xdr:clientData/>
  </xdr:twoCellAnchor>
  <xdr:twoCellAnchor>
    <xdr:from>
      <xdr:col>26</xdr:col>
      <xdr:colOff>197985</xdr:colOff>
      <xdr:row>16</xdr:row>
      <xdr:rowOff>29210</xdr:rowOff>
    </xdr:from>
    <xdr:to>
      <xdr:col>33</xdr:col>
      <xdr:colOff>392435</xdr:colOff>
      <xdr:row>28</xdr:row>
      <xdr:rowOff>108410</xdr:rowOff>
    </xdr:to>
    <xdr:grpSp>
      <xdr:nvGrpSpPr>
        <xdr:cNvPr id="17" name="Agrupar 1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A4BC8FC-8BA5-FF1C-B44A-12AB646FFAAE}"/>
            </a:ext>
          </a:extLst>
        </xdr:cNvPr>
        <xdr:cNvGrpSpPr/>
      </xdr:nvGrpSpPr>
      <xdr:grpSpPr>
        <a:xfrm>
          <a:off x="15342735" y="2918460"/>
          <a:ext cx="4417200" cy="2365200"/>
          <a:chOff x="10004405" y="1810096"/>
          <a:chExt cx="2110010" cy="1464960"/>
        </a:xfrm>
      </xdr:grpSpPr>
      <xdr:sp macro="" textlink="">
        <xdr:nvSpPr>
          <xdr:cNvPr id="8" name="Retângulo: Cantos Arredondados 7">
            <a:extLst>
              <a:ext uri="{FF2B5EF4-FFF2-40B4-BE49-F238E27FC236}">
                <a16:creationId xmlns:a16="http://schemas.microsoft.com/office/drawing/2014/main" id="{F6005550-75D6-A7DB-AD20-6E06233F4C76}"/>
              </a:ext>
            </a:extLst>
          </xdr:cNvPr>
          <xdr:cNvSpPr/>
        </xdr:nvSpPr>
        <xdr:spPr>
          <a:xfrm>
            <a:off x="10004405" y="1810096"/>
            <a:ext cx="2110010" cy="1464960"/>
          </a:xfrm>
          <a:prstGeom prst="roundRect">
            <a:avLst/>
          </a:prstGeom>
          <a:solidFill>
            <a:schemeClr val="bg1"/>
          </a:solidFill>
          <a:ln>
            <a:noFill/>
          </a:ln>
          <a:effectLst>
            <a:outerShdw blurRad="44450" dist="27940" dir="5400000" algn="ctr">
              <a:srgbClr val="000000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lvl="0" algn="ctr"/>
            <a:endParaRPr lang="pt-BR" sz="2800" b="1">
              <a:solidFill>
                <a:schemeClr val="tx2"/>
              </a:solidFill>
            </a:endParaRPr>
          </a:p>
          <a:p>
            <a:pPr lvl="0" algn="ctr"/>
            <a:endParaRPr lang="pt-BR" sz="2800" b="1">
              <a:solidFill>
                <a:schemeClr val="tx2"/>
              </a:solidFill>
            </a:endParaRPr>
          </a:p>
          <a:p>
            <a:pPr lvl="0" algn="ctr"/>
            <a:endParaRPr lang="pt-BR" sz="2800" b="1">
              <a:solidFill>
                <a:schemeClr val="tx2"/>
              </a:solidFill>
            </a:endParaRPr>
          </a:p>
          <a:p>
            <a:pPr lvl="0" algn="ctr"/>
            <a:r>
              <a:rPr lang="pt-BR" sz="2800" b="1">
                <a:solidFill>
                  <a:schemeClr val="tx2"/>
                </a:solidFill>
              </a:rPr>
              <a:t>CONTROLE DE HORAS</a:t>
            </a:r>
          </a:p>
        </xdr:txBody>
      </xdr:sp>
      <xdr:pic>
        <xdr:nvPicPr>
          <xdr:cNvPr id="9" name="Imagem 8">
            <a:extLst>
              <a:ext uri="{FF2B5EF4-FFF2-40B4-BE49-F238E27FC236}">
                <a16:creationId xmlns:a16="http://schemas.microsoft.com/office/drawing/2014/main" id="{7B1E1FE3-02E4-76A5-BAA0-EE0ECC81E91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706065" y="1977188"/>
            <a:ext cx="690069" cy="751528"/>
          </a:xfrm>
          <a:prstGeom prst="rect">
            <a:avLst/>
          </a:prstGeom>
        </xdr:spPr>
      </xdr:pic>
    </xdr:grpSp>
    <xdr:clientData/>
  </xdr:twoCellAnchor>
  <xdr:twoCellAnchor>
    <xdr:from>
      <xdr:col>26</xdr:col>
      <xdr:colOff>168275</xdr:colOff>
      <xdr:row>2</xdr:row>
      <xdr:rowOff>85723</xdr:rowOff>
    </xdr:from>
    <xdr:to>
      <xdr:col>33</xdr:col>
      <xdr:colOff>362725</xdr:colOff>
      <xdr:row>14</xdr:row>
      <xdr:rowOff>164923</xdr:rowOff>
    </xdr:to>
    <xdr:grpSp>
      <xdr:nvGrpSpPr>
        <xdr:cNvPr id="16" name="Agrupar 1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9F0EDDD-E4F3-E573-6FDC-EAB95B1B169E}"/>
            </a:ext>
          </a:extLst>
        </xdr:cNvPr>
        <xdr:cNvGrpSpPr/>
      </xdr:nvGrpSpPr>
      <xdr:grpSpPr>
        <a:xfrm>
          <a:off x="15313025" y="307973"/>
          <a:ext cx="4417200" cy="2365200"/>
          <a:chOff x="10006445" y="263235"/>
          <a:chExt cx="2109874" cy="1455421"/>
        </a:xfrm>
      </xdr:grpSpPr>
      <xdr:sp macro="" textlink="">
        <xdr:nvSpPr>
          <xdr:cNvPr id="11" name="Retângulo: Cantos Arredondados 10">
            <a:extLst>
              <a:ext uri="{FF2B5EF4-FFF2-40B4-BE49-F238E27FC236}">
                <a16:creationId xmlns:a16="http://schemas.microsoft.com/office/drawing/2014/main" id="{29112039-28D6-9B76-2DA4-C3AEF49AB9DC}"/>
              </a:ext>
            </a:extLst>
          </xdr:cNvPr>
          <xdr:cNvSpPr/>
        </xdr:nvSpPr>
        <xdr:spPr>
          <a:xfrm>
            <a:off x="10006445" y="263235"/>
            <a:ext cx="2109874" cy="1455421"/>
          </a:xfrm>
          <a:prstGeom prst="roundRect">
            <a:avLst/>
          </a:prstGeom>
          <a:solidFill>
            <a:schemeClr val="bg1"/>
          </a:solidFill>
          <a:ln>
            <a:noFill/>
          </a:ln>
          <a:effectLst>
            <a:outerShdw blurRad="44450" dist="27940" dir="5400000" algn="ctr">
              <a:srgbClr val="000000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b"/>
          <a:lstStyle/>
          <a:p>
            <a:pPr lvl="0" algn="ctr"/>
            <a:r>
              <a:rPr lang="pt-BR" sz="2800" b="1">
                <a:solidFill>
                  <a:schemeClr val="tx2"/>
                </a:solidFill>
              </a:rPr>
              <a:t>CADASTRO</a:t>
            </a:r>
            <a:r>
              <a:rPr lang="pt-BR" sz="2800" b="1" baseline="0">
                <a:solidFill>
                  <a:schemeClr val="tx2"/>
                </a:solidFill>
              </a:rPr>
              <a:t> </a:t>
            </a:r>
          </a:p>
          <a:p>
            <a:pPr lvl="0" algn="ctr"/>
            <a:r>
              <a:rPr lang="pt-BR" sz="2800" b="1" baseline="0">
                <a:solidFill>
                  <a:schemeClr val="tx2"/>
                </a:solidFill>
              </a:rPr>
              <a:t>FUNCIONÁRIOS</a:t>
            </a:r>
            <a:endParaRPr lang="pt-BR" sz="2800" b="1">
              <a:solidFill>
                <a:schemeClr val="tx2"/>
              </a:solidFill>
            </a:endParaRPr>
          </a:p>
        </xdr:txBody>
      </xdr:sp>
      <xdr:pic>
        <xdr:nvPicPr>
          <xdr:cNvPr id="12" name="Imagem 11">
            <a:extLst>
              <a:ext uri="{FF2B5EF4-FFF2-40B4-BE49-F238E27FC236}">
                <a16:creationId xmlns:a16="http://schemas.microsoft.com/office/drawing/2014/main" id="{C6B88903-43F5-6AC2-0F4D-AC938E1F8F2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772295" y="434469"/>
            <a:ext cx="568701" cy="671130"/>
          </a:xfrm>
          <a:prstGeom prst="rect">
            <a:avLst/>
          </a:prstGeom>
        </xdr:spPr>
      </xdr:pic>
    </xdr:grpSp>
    <xdr:clientData/>
  </xdr:twoCellAnchor>
  <xdr:twoCellAnchor>
    <xdr:from>
      <xdr:col>26</xdr:col>
      <xdr:colOff>206375</xdr:colOff>
      <xdr:row>44</xdr:row>
      <xdr:rowOff>15875</xdr:rowOff>
    </xdr:from>
    <xdr:to>
      <xdr:col>33</xdr:col>
      <xdr:colOff>399915</xdr:colOff>
      <xdr:row>56</xdr:row>
      <xdr:rowOff>93995</xdr:rowOff>
    </xdr:to>
    <xdr:grpSp>
      <xdr:nvGrpSpPr>
        <xdr:cNvPr id="19" name="Agrupar 18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4873296-053B-430B-595B-6B04252DC88E}"/>
            </a:ext>
          </a:extLst>
        </xdr:cNvPr>
        <xdr:cNvGrpSpPr/>
      </xdr:nvGrpSpPr>
      <xdr:grpSpPr>
        <a:xfrm>
          <a:off x="15351125" y="8239125"/>
          <a:ext cx="4416290" cy="2364120"/>
          <a:chOff x="10027265" y="5056216"/>
          <a:chExt cx="2110010" cy="1464960"/>
        </a:xfrm>
      </xdr:grpSpPr>
      <xdr:sp macro="" textlink="">
        <xdr:nvSpPr>
          <xdr:cNvPr id="14" name="Retângulo: Cantos Arredondados 13">
            <a:extLst>
              <a:ext uri="{FF2B5EF4-FFF2-40B4-BE49-F238E27FC236}">
                <a16:creationId xmlns:a16="http://schemas.microsoft.com/office/drawing/2014/main" id="{5F1C532F-6F8E-6FE6-AF82-8A6E14A94A56}"/>
              </a:ext>
            </a:extLst>
          </xdr:cNvPr>
          <xdr:cNvSpPr/>
        </xdr:nvSpPr>
        <xdr:spPr>
          <a:xfrm>
            <a:off x="10027265" y="5056216"/>
            <a:ext cx="2110010" cy="1464960"/>
          </a:xfrm>
          <a:prstGeom prst="roundRect">
            <a:avLst/>
          </a:prstGeom>
          <a:solidFill>
            <a:schemeClr val="bg1"/>
          </a:solidFill>
          <a:ln>
            <a:noFill/>
          </a:ln>
          <a:effectLst>
            <a:outerShdw blurRad="44450" dist="27940" dir="5400000" algn="ctr">
              <a:srgbClr val="000000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lvl="0" algn="ctr"/>
            <a:endParaRPr lang="pt-BR" sz="1100" b="1">
              <a:solidFill>
                <a:schemeClr val="tx2"/>
              </a:solidFill>
            </a:endParaRPr>
          </a:p>
          <a:p>
            <a:pPr lvl="0" algn="ctr"/>
            <a:endParaRPr lang="pt-BR" sz="1100" b="1">
              <a:solidFill>
                <a:schemeClr val="tx2"/>
              </a:solidFill>
            </a:endParaRPr>
          </a:p>
          <a:p>
            <a:pPr lvl="0" algn="ctr"/>
            <a:endParaRPr lang="pt-BR" sz="1100" b="1">
              <a:solidFill>
                <a:schemeClr val="tx2"/>
              </a:solidFill>
            </a:endParaRPr>
          </a:p>
          <a:p>
            <a:pPr lvl="0" algn="ctr"/>
            <a:endParaRPr lang="pt-BR" sz="1800" b="1">
              <a:solidFill>
                <a:schemeClr val="tx2"/>
              </a:solidFill>
            </a:endParaRPr>
          </a:p>
          <a:p>
            <a:pPr lvl="0" algn="ctr"/>
            <a:endParaRPr lang="pt-BR" sz="1800" b="1">
              <a:solidFill>
                <a:schemeClr val="tx2"/>
              </a:solidFill>
            </a:endParaRPr>
          </a:p>
          <a:p>
            <a:pPr lvl="0" algn="ctr"/>
            <a:endParaRPr lang="pt-BR" sz="1800" b="1">
              <a:solidFill>
                <a:schemeClr val="tx2"/>
              </a:solidFill>
            </a:endParaRPr>
          </a:p>
          <a:p>
            <a:pPr lvl="0" algn="ctr"/>
            <a:r>
              <a:rPr lang="pt-BR" sz="2800" b="1">
                <a:solidFill>
                  <a:schemeClr val="tx2"/>
                </a:solidFill>
              </a:rPr>
              <a:t>CONTRA</a:t>
            </a:r>
            <a:r>
              <a:rPr lang="pt-BR" sz="2800" b="1" baseline="0">
                <a:solidFill>
                  <a:schemeClr val="tx2"/>
                </a:solidFill>
              </a:rPr>
              <a:t> CHEQUE</a:t>
            </a:r>
            <a:endParaRPr lang="pt-BR" sz="2800" b="1">
              <a:solidFill>
                <a:schemeClr val="tx2"/>
              </a:solidFill>
            </a:endParaRPr>
          </a:p>
        </xdr:txBody>
      </xdr:sp>
      <xdr:pic>
        <xdr:nvPicPr>
          <xdr:cNvPr id="15" name="Imagem 14">
            <a:extLst>
              <a:ext uri="{FF2B5EF4-FFF2-40B4-BE49-F238E27FC236}">
                <a16:creationId xmlns:a16="http://schemas.microsoft.com/office/drawing/2014/main" id="{E93DCE49-396F-A716-6EFC-9F50A34FC5D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  <a:ext uri="{837473B0-CC2E-450A-ABE3-18F120FF3D39}">
                <a1611:picAttrSrcUrl xmlns:a1611="http://schemas.microsoft.com/office/drawing/2016/11/main" r:id="rId9"/>
              </a:ext>
            </a:extLst>
          </a:blip>
          <a:stretch>
            <a:fillRect/>
          </a:stretch>
        </xdr:blipFill>
        <xdr:spPr>
          <a:xfrm>
            <a:off x="10573367" y="5165888"/>
            <a:ext cx="1027577" cy="887236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6</xdr:col>
      <xdr:colOff>36368</xdr:colOff>
      <xdr:row>2</xdr:row>
      <xdr:rowOff>0</xdr:rowOff>
    </xdr:to>
    <xdr:sp macro="" textlink="">
      <xdr:nvSpPr>
        <xdr:cNvPr id="2" name="Retâ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4E5A0D-D51A-456A-80F0-B5659E82DE16}"/>
            </a:ext>
          </a:extLst>
        </xdr:cNvPr>
        <xdr:cNvSpPr/>
      </xdr:nvSpPr>
      <xdr:spPr>
        <a:xfrm>
          <a:off x="2752725" y="0"/>
          <a:ext cx="1255568" cy="381000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800" b="1">
              <a:solidFill>
                <a:sysClr val="windowText" lastClr="000000"/>
              </a:solidFill>
              <a:latin typeface="+mn-lt"/>
            </a:rPr>
            <a:t>MENU</a:t>
          </a:r>
          <a:endParaRPr lang="pt-BR" sz="1100" b="1">
            <a:solidFill>
              <a:sysClr val="windowText" lastClr="000000"/>
            </a:solidFill>
            <a:latin typeface="+mn-lt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0</xdr:colOff>
      <xdr:row>0</xdr:row>
      <xdr:rowOff>0</xdr:rowOff>
    </xdr:from>
    <xdr:to>
      <xdr:col>10</xdr:col>
      <xdr:colOff>36368</xdr:colOff>
      <xdr:row>2</xdr:row>
      <xdr:rowOff>0</xdr:rowOff>
    </xdr:to>
    <xdr:sp macro="" textlink="">
      <xdr:nvSpPr>
        <xdr:cNvPr id="2" name="Retâ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D861ABE-07B3-484C-A815-8223E07D3A4C}"/>
            </a:ext>
          </a:extLst>
        </xdr:cNvPr>
        <xdr:cNvSpPr/>
      </xdr:nvSpPr>
      <xdr:spPr>
        <a:xfrm>
          <a:off x="7372350" y="0"/>
          <a:ext cx="1255568" cy="381000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800" b="1">
              <a:solidFill>
                <a:sysClr val="windowText" lastClr="000000"/>
              </a:solidFill>
              <a:latin typeface="+mn-lt"/>
            </a:rPr>
            <a:t>MENU</a:t>
          </a:r>
          <a:endParaRPr lang="pt-BR" sz="1100" b="1">
            <a:solidFill>
              <a:sysClr val="windowText" lastClr="000000"/>
            </a:solidFill>
            <a:latin typeface="+mn-lt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19</xdr:col>
      <xdr:colOff>0</xdr:colOff>
      <xdr:row>0</xdr:row>
      <xdr:rowOff>0</xdr:rowOff>
    </xdr:from>
    <xdr:to>
      <xdr:col>20</xdr:col>
      <xdr:colOff>437030</xdr:colOff>
      <xdr:row>1</xdr:row>
      <xdr:rowOff>0</xdr:rowOff>
    </xdr:to>
    <xdr:sp macro="" textlink="">
      <xdr:nvSpPr>
        <xdr:cNvPr id="2" name="Retâ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D5C3D0F-8187-4674-AE9A-C78D6AED413D}"/>
            </a:ext>
          </a:extLst>
        </xdr:cNvPr>
        <xdr:cNvSpPr/>
      </xdr:nvSpPr>
      <xdr:spPr>
        <a:xfrm>
          <a:off x="15273618" y="0"/>
          <a:ext cx="1210236" cy="381000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800" b="1">
              <a:solidFill>
                <a:sysClr val="windowText" lastClr="000000"/>
              </a:solidFill>
              <a:latin typeface="+mn-lt"/>
            </a:rPr>
            <a:t>MENU</a:t>
          </a:r>
          <a:endParaRPr lang="pt-BR" sz="1100" b="1">
            <a:solidFill>
              <a:sysClr val="windowText" lastClr="000000"/>
            </a:solidFill>
            <a:latin typeface="+mn-lt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609599</xdr:colOff>
      <xdr:row>0</xdr:row>
      <xdr:rowOff>0</xdr:rowOff>
    </xdr:from>
    <xdr:to>
      <xdr:col>6</xdr:col>
      <xdr:colOff>609599</xdr:colOff>
      <xdr:row>1</xdr:row>
      <xdr:rowOff>190499</xdr:rowOff>
    </xdr:to>
    <xdr:sp macro="" textlink="">
      <xdr:nvSpPr>
        <xdr:cNvPr id="2" name="Retâ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DA8011C-4E2F-4EA7-BE0D-AD339062A32F}"/>
            </a:ext>
          </a:extLst>
        </xdr:cNvPr>
        <xdr:cNvSpPr/>
      </xdr:nvSpPr>
      <xdr:spPr>
        <a:xfrm>
          <a:off x="5857874" y="0"/>
          <a:ext cx="1323975" cy="428624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800" b="1">
              <a:solidFill>
                <a:sysClr val="windowText" lastClr="000000"/>
              </a:solidFill>
              <a:latin typeface="+mn-lt"/>
            </a:rPr>
            <a:t>MENU</a:t>
          </a:r>
          <a:endParaRPr lang="pt-BR" sz="1100" b="1">
            <a:solidFill>
              <a:sysClr val="windowText" lastClr="000000"/>
            </a:solidFill>
            <a:latin typeface="+mn-lt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9</xdr:row>
      <xdr:rowOff>0</xdr:rowOff>
    </xdr:from>
    <xdr:to>
      <xdr:col>6</xdr:col>
      <xdr:colOff>0</xdr:colOff>
      <xdr:row>11</xdr:row>
      <xdr:rowOff>0</xdr:rowOff>
    </xdr:to>
    <xdr:sp macro="[0]!At_Horas" textlink="">
      <xdr:nvSpPr>
        <xdr:cNvPr id="4" name="Retângulo 3">
          <a:extLst>
            <a:ext uri="{FF2B5EF4-FFF2-40B4-BE49-F238E27FC236}">
              <a16:creationId xmlns:a16="http://schemas.microsoft.com/office/drawing/2014/main" id="{24D830A3-EC3B-C4A3-8A62-A1027235EDB7}"/>
            </a:ext>
          </a:extLst>
        </xdr:cNvPr>
        <xdr:cNvSpPr/>
      </xdr:nvSpPr>
      <xdr:spPr>
        <a:xfrm>
          <a:off x="4601837" y="2008283"/>
          <a:ext cx="3098494" cy="390181"/>
        </a:xfrm>
        <a:prstGeom prst="rect">
          <a:avLst/>
        </a:prstGeom>
        <a:solidFill>
          <a:schemeClr val="bg1">
            <a:lumMod val="85000"/>
          </a:schemeClr>
        </a:solidFill>
        <a:ln>
          <a:solidFill>
            <a:schemeClr val="bg1">
              <a:lumMod val="85000"/>
            </a:schemeClr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800" b="1">
              <a:solidFill>
                <a:srgbClr val="002060"/>
              </a:solidFill>
            </a:rPr>
            <a:t>Atualizar</a:t>
          </a:r>
          <a:r>
            <a:rPr lang="pt-BR" sz="1800" b="1" baseline="0">
              <a:solidFill>
                <a:srgbClr val="002060"/>
              </a:solidFill>
            </a:rPr>
            <a:t> Horas Trabalhadas</a:t>
          </a:r>
          <a:endParaRPr lang="pt-BR" sz="1800" b="1">
            <a:solidFill>
              <a:srgbClr val="002060"/>
            </a:solidFill>
          </a:endParaRPr>
        </a:p>
      </xdr:txBody>
    </xdr:sp>
    <xdr:clientData/>
  </xdr:twoCellAnchor>
  <xdr:twoCellAnchor editAs="absolute">
    <xdr:from>
      <xdr:col>10</xdr:col>
      <xdr:colOff>0</xdr:colOff>
      <xdr:row>0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8" name="Retângulo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1A83CBF-C2B8-41A3-A8C1-08C562B979FD}"/>
            </a:ext>
          </a:extLst>
        </xdr:cNvPr>
        <xdr:cNvSpPr/>
      </xdr:nvSpPr>
      <xdr:spPr>
        <a:xfrm>
          <a:off x="13130893" y="0"/>
          <a:ext cx="1224643" cy="503464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800" b="1">
              <a:solidFill>
                <a:sysClr val="windowText" lastClr="000000"/>
              </a:solidFill>
              <a:latin typeface="+mn-lt"/>
            </a:rPr>
            <a:t>MENU</a:t>
          </a:r>
          <a:endParaRPr lang="pt-BR" sz="1100" b="1">
            <a:solidFill>
              <a:sysClr val="windowText" lastClr="000000"/>
            </a:solidFill>
            <a:latin typeface="+mn-lt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0</xdr:rowOff>
    </xdr:from>
    <xdr:to>
      <xdr:col>7</xdr:col>
      <xdr:colOff>36368</xdr:colOff>
      <xdr:row>1</xdr:row>
      <xdr:rowOff>180975</xdr:rowOff>
    </xdr:to>
    <xdr:sp macro="" textlink="">
      <xdr:nvSpPr>
        <xdr:cNvPr id="2" name="Retâ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C760952-C9F4-4AFD-BDF9-9C5EC1D97313}"/>
            </a:ext>
          </a:extLst>
        </xdr:cNvPr>
        <xdr:cNvSpPr/>
      </xdr:nvSpPr>
      <xdr:spPr>
        <a:xfrm>
          <a:off x="3810000" y="0"/>
          <a:ext cx="1255568" cy="381000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800" b="1">
              <a:solidFill>
                <a:sysClr val="windowText" lastClr="000000"/>
              </a:solidFill>
              <a:latin typeface="+mn-lt"/>
            </a:rPr>
            <a:t>MENU</a:t>
          </a:r>
          <a:endParaRPr lang="pt-BR" sz="1100" b="1">
            <a:solidFill>
              <a:sysClr val="windowText" lastClr="000000"/>
            </a:solidFill>
            <a:latin typeface="+mn-lt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2</xdr:row>
      <xdr:rowOff>0</xdr:rowOff>
    </xdr:from>
    <xdr:to>
      <xdr:col>14</xdr:col>
      <xdr:colOff>130366</xdr:colOff>
      <xdr:row>4</xdr:row>
      <xdr:rowOff>85578</xdr:rowOff>
    </xdr:to>
    <xdr:sp macro="" textlink="">
      <xdr:nvSpPr>
        <xdr:cNvPr id="2" name="Retâ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62F1DEA-C4E9-4AD4-B1FA-D55F552D796E}"/>
            </a:ext>
          </a:extLst>
        </xdr:cNvPr>
        <xdr:cNvSpPr/>
      </xdr:nvSpPr>
      <xdr:spPr>
        <a:xfrm>
          <a:off x="7772400" y="381000"/>
          <a:ext cx="1349566" cy="561828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800" b="1">
              <a:solidFill>
                <a:sysClr val="windowText" lastClr="000000"/>
              </a:solidFill>
              <a:latin typeface="+mn-lt"/>
            </a:rPr>
            <a:t>MENU</a:t>
          </a:r>
          <a:endParaRPr lang="pt-BR" sz="1100" b="1">
            <a:solidFill>
              <a:sysClr val="windowText" lastClr="000000"/>
            </a:solidFill>
            <a:latin typeface="+mn-lt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5</xdr:col>
      <xdr:colOff>569768</xdr:colOff>
      <xdr:row>2</xdr:row>
      <xdr:rowOff>0</xdr:rowOff>
    </xdr:to>
    <xdr:sp macro="" textlink="">
      <xdr:nvSpPr>
        <xdr:cNvPr id="2" name="Retâ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026A386-8E9E-4857-990C-17904EFCBBE6}"/>
            </a:ext>
          </a:extLst>
        </xdr:cNvPr>
        <xdr:cNvSpPr/>
      </xdr:nvSpPr>
      <xdr:spPr>
        <a:xfrm>
          <a:off x="3314700" y="0"/>
          <a:ext cx="1255568" cy="381000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800" b="1">
              <a:solidFill>
                <a:sysClr val="windowText" lastClr="000000"/>
              </a:solidFill>
              <a:latin typeface="+mn-lt"/>
            </a:rPr>
            <a:t>MENU</a:t>
          </a:r>
          <a:endParaRPr lang="pt-BR" sz="1100" b="1">
            <a:solidFill>
              <a:sysClr val="windowText" lastClr="000000"/>
            </a:solidFill>
            <a:latin typeface="+mn-lt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5</xdr:col>
      <xdr:colOff>36368</xdr:colOff>
      <xdr:row>2</xdr:row>
      <xdr:rowOff>0</xdr:rowOff>
    </xdr:to>
    <xdr:sp macro="" textlink="">
      <xdr:nvSpPr>
        <xdr:cNvPr id="2" name="Retâ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89184CE-759D-49C7-B861-29841D426EB4}"/>
            </a:ext>
          </a:extLst>
        </xdr:cNvPr>
        <xdr:cNvSpPr/>
      </xdr:nvSpPr>
      <xdr:spPr>
        <a:xfrm>
          <a:off x="1924050" y="0"/>
          <a:ext cx="1255568" cy="381000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800" b="1">
              <a:solidFill>
                <a:sysClr val="windowText" lastClr="000000"/>
              </a:solidFill>
              <a:latin typeface="+mn-lt"/>
            </a:rPr>
            <a:t>MENU</a:t>
          </a:r>
          <a:endParaRPr lang="pt-BR" sz="1100" b="1">
            <a:solidFill>
              <a:sysClr val="windowText" lastClr="000000"/>
            </a:solidFill>
            <a:latin typeface="+mn-lt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a5bd9f4e4cbf0e6f/&#193;rea%20de%20Trabalho/Rsa%20-%20Finan&#231;as/RSA%20-%20Horas.xlsm" TargetMode="External"/><Relationship Id="rId1" Type="http://schemas.openxmlformats.org/officeDocument/2006/relationships/externalLinkPath" Target="/a5bd9f4e4cbf0e6f/&#193;rea%20de%20Trabalho/Rsa%20-%20Finan&#231;as/RSA%20-%20Horas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enu"/>
      <sheetName val="Cadastro"/>
      <sheetName val="Funcionários"/>
      <sheetName val="Lançamento de Horas"/>
      <sheetName val="Feriados"/>
      <sheetName val="DSR"/>
      <sheetName val="Folha de Ponto"/>
      <sheetName val="Holerite"/>
      <sheetName val="Bizu"/>
      <sheetName val="INTERJORNAD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8">
          <cell r="G28">
            <v>2152.444602272727</v>
          </cell>
          <cell r="I28">
            <v>1194.376602272727</v>
          </cell>
        </row>
      </sheetData>
      <sheetData sheetId="8"/>
      <sheetData sheetId="9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02796C5-0713-4DCA-A77E-7317F2A6213B}" name="Função" displayName="Função" ref="A1:A7" totalsRowShown="0">
  <autoFilter ref="A1:A7" xr:uid="{B02796C5-0713-4DCA-A77E-7317F2A6213B}"/>
  <tableColumns count="1">
    <tableColumn id="1" xr3:uid="{D32A155F-3084-4B38-B778-056B96F9E528}" name="Função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85BBB1D-1B2A-44B7-AAFB-70DA0BECBCB4}" name="Area" displayName="Area" ref="C1:C4" totalsRowShown="0">
  <autoFilter ref="C1:C4" xr:uid="{985BBB1D-1B2A-44B7-AAFB-70DA0BECBCB4}"/>
  <tableColumns count="1">
    <tableColumn id="1" xr3:uid="{7DD1B17F-1614-4CC0-827A-57AC9407B29E}" name="Área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8A30930-E797-4FD6-8B15-0DB7E007402F}" name="Funcionarios" displayName="Funcionarios" ref="A1:G19" totalsRowShown="0" headerRowDxfId="36" dataDxfId="35">
  <autoFilter ref="A1:G19" xr:uid="{08A30930-E797-4FD6-8B15-0DB7E007402F}"/>
  <sortState xmlns:xlrd2="http://schemas.microsoft.com/office/spreadsheetml/2017/richdata2" ref="A2:G16">
    <sortCondition ref="A1:A16"/>
  </sortState>
  <tableColumns count="7">
    <tableColumn id="1" xr3:uid="{28D4B5A7-62E8-4160-8FBD-FEF5EFDA095D}" name="Nome" dataDxfId="34"/>
    <tableColumn id="2" xr3:uid="{6E6726B0-86E5-4A7F-8D70-39572047554B}" name="Função" dataDxfId="33"/>
    <tableColumn id="3" xr3:uid="{0990E10C-CCA3-4345-ABA0-FCE2B5A9A930}" name="Área" dataDxfId="32"/>
    <tableColumn id="4" xr3:uid="{4E692279-2DC7-4A69-809D-982C42430610}" name="E-mail" dataDxfId="31"/>
    <tableColumn id="5" xr3:uid="{413753E2-B78D-41FF-8431-FC9010D15809}" name="Telefone" dataDxfId="30"/>
    <tableColumn id="6" xr3:uid="{0A58DB19-599C-4D0A-BD67-AE646DA6BDEB}" name="Salário" dataDxfId="29"/>
    <tableColumn id="7" xr3:uid="{8A909105-3978-4DE1-8435-C3576FE63DE9}" name="Data de Admissão" dataDxfId="28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F65C8A26-D0CE-490C-B798-46E16C8AA217}" name="Horas" displayName="Horas" ref="A1:S367" totalsRowShown="0" headerRowDxfId="27" dataDxfId="26">
  <sortState xmlns:xlrd2="http://schemas.microsoft.com/office/spreadsheetml/2017/richdata2" ref="A2:S337">
    <sortCondition ref="B1:B337"/>
  </sortState>
  <tableColumns count="19">
    <tableColumn id="1" xr3:uid="{440A71F4-0BC2-432C-AC7D-6D7143F62D2F}" name="Nome" dataDxfId="25"/>
    <tableColumn id="2" xr3:uid="{7110C2CD-0B76-4444-AEA0-852A1ADF1144}" name="Data" dataDxfId="24"/>
    <tableColumn id="3" xr3:uid="{29CCCE79-DE13-4799-B077-ABEBADD316C1}" name="Aux1" dataDxfId="23">
      <calculatedColumnFormula>IF(D2="","",IF(D2&lt;=$Y$4,$Z$4,IF(D2&lt;=$AA$4,$Z$4,D2)))</calculatedColumnFormula>
    </tableColumn>
    <tableColumn id="4" xr3:uid="{B7060D23-3616-4F3D-8836-6FF0DDFF5F4C}" name="Entrada" dataDxfId="22"/>
    <tableColumn id="5" xr3:uid="{D9F735C0-1CED-46C2-A858-EDFF85ACEDD0}" name="Saída Almoço" dataDxfId="21"/>
    <tableColumn id="6" xr3:uid="{AEEC42E6-722C-4395-921C-5A023899B7B8}" name="Aux3" dataDxfId="20">
      <calculatedColumnFormula>IF(G2-E2&lt;=$X$1,G2,E2+$AB$1)</calculatedColumnFormula>
    </tableColumn>
    <tableColumn id="7" xr3:uid="{EC44714E-8FE5-495D-A833-BF52725AD547}" name="Retorno Almoço" dataDxfId="19"/>
    <tableColumn id="8" xr3:uid="{6EBF110F-E5DF-4023-918E-30BDC70EC97F}" name="Aux4" dataDxfId="18"/>
    <tableColumn id="9" xr3:uid="{2A6AA447-F813-4230-A49D-D89CC6260326}" name="Saída" dataDxfId="17">
      <calculatedColumnFormula>IFERROR(IF(B2=VLOOKUP(B2,Feriados[],2,0),H2,IF(N2="Sáb",H2,IF(AND(B2&lt;$T$1,H2&lt;=$AA$3),$Z$3,IF(AND(N2="Sex",H2&gt;$AA$3),H2,IF(H2&lt;=$AA$3,$Z$3,IF(H2&lt;=$AA$8,$Z$8,H2)))))),IF(N2="Sáb",H2,IF(AND(B2&lt;$T$1,H2&lt;=$AA$3),$Z$3,IF(AND(N2="Sex",H2&gt;$AA$3),H2,IF(H2&lt;=$AA$3,$Z$3,IF(H2&lt;=$AA$8,$Z$8,H2))))))</calculatedColumnFormula>
    </tableColumn>
    <tableColumn id="10" xr3:uid="{F0F50B58-9920-43C2-B78F-BAC7CF2083D6}" name="Carga Horária por Dia" dataDxfId="16">
      <calculatedColumnFormula>IF((H2-D2)-(G2-E2)&lt;$AB$1,"",IF(AND(B2&lt;$T$1,(H2-D2)-(G2-E2)&gt;$Y$2),$Y$2,IF(AND(N2="Sex",(H2-D2)-(G2-E2)&gt;$Y$2),$Y$2,IF((H2-D2)-(G2-E2)&gt;$X$2,$X$2,(H2-D2)-(G2-E2)))))</calculatedColumnFormula>
    </tableColumn>
    <tableColumn id="11" xr3:uid="{94C272D9-9566-4D03-BDDF-31EB9F309A69}" name="Horas Trabalhadas" dataDxfId="15">
      <calculatedColumnFormula>IFERROR(IF(H2="","",IF(B2=VLOOKUP(B2,Feriados[],2,0),(H2-D2)-(G2-E2),IF(D2&lt;=$Y$4,(I2-D2)-(G2-E2),(I2-C2)-(F2-E2)))),IF(AND(D2&lt;=$Y$4,F2-E2=$AB$1),(I2-D2)-(F2-E2),IF(D2&lt;$Y$4,(I2-D2)-(G2-E2),(I2-C2)-(F2-E2))))</calculatedColumnFormula>
    </tableColumn>
    <tableColumn id="12" xr3:uid="{7CC8EFAE-4304-43AD-8ABC-DABDCE75AD81}" name="Horas Extras" dataDxfId="14">
      <calculatedColumnFormula>IF(B2=_xlfn.XLOOKUP(B2,Feriados[FE Oficial],Feriados[FE Talvez],"",0),"",IF(Q2="Compensado","",IF(AND(N2="Sex",D2&lt;$Y$4),($Z$4-D2)+$AB$1-(F2-E2)+(I2-$Z$3),IF(AND(N2="Sex",I2&gt;$Z$3),($AB$1-(F2-E2))+(I2-$Z$3),IF(AND(N2="Sex",E2&lt;&gt;"",D2&lt;$Y$4),($Z$4-D2)+$AB$1-(F2-E2)+(I2-$Z$3),IF(N2="Sáb",(I2-D2)-(G2-E2)-(S2-R2),IF(AND(B2&lt;$T$1,I2&gt;$Z$3),H2-$Z$3,IF(D2&lt;$Y$4,($Z$4-D2)+($AB$1-(F2-E2))+(I2-$Z$8)+(S2-R2),IF(AND(S2&lt;&gt;"",D2&gt;$Z$4),(S2-R2)-($AB$1-(F2-E2)),IF(AND(S2&lt;&gt;"",D2&lt;$Y$4),(S2-R2)-($AB$1-(F2-E2)+($Z$4-D2)),IF(I2&gt;$Z$8,($AB$1-(F2-E2))+(I2-$Z$8),IF(AND(N2="Sex",(F2-E2)&lt;($AB$1-$W$1)),($AB$1-(F2-E2)),IF(AND(O2&gt;($AB$1-$W$1),D2&gt;$Z$4),"",IF(AND(B2&gt;=$T$1,(F2-E2)&gt;($AB$1-$W$1)),"",IF(AND(D2&gt;=$Y$4,I2=$Z$8,S2=""),($AB$1-(F2-E2)),IF(AND(P2&lt;&gt;"",S2&lt;&gt;""),I2-$Z$8,IF(AND(P2&lt;&gt;"",D2&gt;$Y$4),$AB$1-(F2-E2),"")))))))))))))))))</calculatedColumnFormula>
    </tableColumn>
    <tableColumn id="13" xr3:uid="{C14641E6-8BF0-4D9E-BFF7-3401DFDB6D68}" name="Feriados" dataDxfId="13">
      <calculatedColumnFormula>IFERROR(IF(H2="","",IF(B2=VLOOKUP(B2,Feriados[],2,0),(H2-D2)-(G2-E2),"")),"")</calculatedColumnFormula>
    </tableColumn>
    <tableColumn id="14" xr3:uid="{D81A3D86-415F-4906-A2BD-1B167D408846}" name="Dia" dataDxfId="12">
      <calculatedColumnFormula>PROPER(TEXT(B2,"DDD"))</calculatedColumnFormula>
    </tableColumn>
    <tableColumn id="15" xr3:uid="{537CBB31-77DF-4535-9D9C-B7AAF9DB30A0}" name="Tempo de Almoço" dataDxfId="11">
      <calculatedColumnFormula>G2-E2</calculatedColumnFormula>
    </tableColumn>
    <tableColumn id="16" xr3:uid="{EC8CD8FF-A81C-4A34-8BD4-F7FD822D8A30}" name="Desconto" dataDxfId="10">
      <calculatedColumnFormula>IF(B2=_xlfn.XLOOKUP(B2,Feriados[FE Oficial],Feriados[FE Talvez],"",0),"",IF(B2&lt;$T$1,"",IF(Q2="Consulta","",IF(Q2="Compensado","",IF(N2="Sáb","",IF(S2&lt;&gt;"",(S2-R2)-(($AB$1-O2)-(D2-$Z$4)),IF(O2&gt;$AB$1,O2-$AB$1,IF(C2&gt;$Z$4,C2-$Z$4,IF(AND(N2="Sex",G2&lt;&gt;"",H2=""),$Z$3-G2,IF(AND(G2&lt;&gt;"",H2=""),$Z$3-G2,IF(AND(N2="Sex",H2&lt;$Y$3),$Z$3-H2,IF(AND(N2&lt;&gt;"Sex",H2&gt;$AA$8),"",IF(AND(N2="Sex",H2&gt;$Z$8),"",IF(AND(N2&lt;&gt;"Sex",I2&gt;$Z$8),$Z$8-H2,IF(AND(N2&lt;&gt;"Sex",H2&lt;$Y$8),$Z$8-H2,"")))))))))))))))</calculatedColumnFormula>
    </tableColumn>
    <tableColumn id="17" xr3:uid="{58492F62-19B8-4FE2-9FB6-35F78841263D}" name="Justificativa" dataDxfId="9"/>
    <tableColumn id="19" xr3:uid="{6146E085-2D12-4BE3-9F55-0CE5B8D15030}" name="E3" dataDxfId="8"/>
    <tableColumn id="20" xr3:uid="{0BDF0BAB-791C-4BE3-A2A3-FCDBADCA9358}" name="S3" dataDxfId="7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B2F12AA4-11EE-4BB7-A1EB-10E82B9143C2}" name="Feriados" displayName="Feriados" ref="A2:D86" totalsRowShown="0" headerRowDxfId="6">
  <autoFilter ref="A2:D86" xr:uid="{B2F12AA4-11EE-4BB7-A1EB-10E82B9143C2}"/>
  <sortState xmlns:xlrd2="http://schemas.microsoft.com/office/spreadsheetml/2017/richdata2" ref="A3:D86">
    <sortCondition ref="B2:B86"/>
  </sortState>
  <tableColumns count="4">
    <tableColumn id="1" xr3:uid="{3DF44DCB-95EA-46D3-B3E5-05B442CC9693}" name="FE Oficial" dataDxfId="5">
      <calculatedColumnFormula>B3</calculatedColumnFormula>
    </tableColumn>
    <tableColumn id="2" xr3:uid="{E3A4123B-BD34-435A-99EF-BADB4E43CBC8}" name="FE Talvez" dataDxfId="4"/>
    <tableColumn id="3" xr3:uid="{281A29E3-0A8C-4356-9E49-C8FF0820FBD3}" name="Dia da Semana" dataDxfId="3">
      <calculatedColumnFormula>PROPER(TEXT(B3,"ddd"))</calculatedColumnFormula>
    </tableColumn>
    <tableColumn id="4" xr3:uid="{F6CB6E9B-81BA-40D9-8EC9-C61F5800DC05}" name="Descrição" dataDxfId="2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Hosanaduo@gmail.com" TargetMode="External"/><Relationship Id="rId2" Type="http://schemas.openxmlformats.org/officeDocument/2006/relationships/hyperlink" Target="mailto:rafaelduo@gmail.com" TargetMode="External"/><Relationship Id="rId1" Type="http://schemas.openxmlformats.org/officeDocument/2006/relationships/hyperlink" Target="mailto:yvensgabriel75@gmail.com" TargetMode="External"/><Relationship Id="rId6" Type="http://schemas.openxmlformats.org/officeDocument/2006/relationships/table" Target="../tables/table3.xml"/><Relationship Id="rId5" Type="http://schemas.openxmlformats.org/officeDocument/2006/relationships/drawing" Target="../drawings/drawing3.xml"/><Relationship Id="rId4" Type="http://schemas.openxmlformats.org/officeDocument/2006/relationships/hyperlink" Target="mailto:gabriela.martins@duonobre.com.br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0848C-896D-4582-B09C-59FBC4319886}">
  <dimension ref="C1:C4"/>
  <sheetViews>
    <sheetView tabSelected="1" workbookViewId="0">
      <selection activeCell="C3" sqref="C3"/>
    </sheetView>
  </sheetViews>
  <sheetFormatPr defaultColWidth="8.7109375" defaultRowHeight="15" x14ac:dyDescent="0.25"/>
  <cols>
    <col min="1" max="1" width="1.85546875" style="136" customWidth="1"/>
    <col min="2" max="2" width="1.42578125" style="136" customWidth="1"/>
    <col min="3" max="3" width="155.140625" style="136" customWidth="1"/>
    <col min="4" max="16384" width="8.7109375" style="136"/>
  </cols>
  <sheetData>
    <row r="1" spans="3:3" ht="6.6" customHeight="1" x14ac:dyDescent="0.25"/>
    <row r="2" spans="3:3" ht="15.75" thickBot="1" x14ac:dyDescent="0.3"/>
    <row r="3" spans="3:3" ht="143.25" thickTop="1" thickBot="1" x14ac:dyDescent="0.3">
      <c r="C3" s="137" t="s">
        <v>215</v>
      </c>
    </row>
    <row r="4" spans="3:3" ht="15.75" thickTop="1" x14ac:dyDescent="0.25"/>
  </sheetData>
  <sheetProtection algorithmName="SHA-512" hashValue="k+1Kxzuw/8P8F0Nga34ZRS1diM3YBmWzvAdygdvjRssXSuWR9N0Niu2UqCQF2cs6lwiCR3qD6VzXOMH8oJAfsA==" saltValue="sFHXgNK9fXiVy6mOa/ChQA==" spinCount="100000" sheet="1" objects="1" scenarios="1"/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6F976-2729-47A9-9F7C-7B9FF92E482E}">
  <sheetPr codeName="Planilha1"/>
  <dimension ref="A1"/>
  <sheetViews>
    <sheetView showGridLines="0" showRowColHeaders="0" zoomScale="60" zoomScaleNormal="60" workbookViewId="0"/>
  </sheetViews>
  <sheetFormatPr defaultRowHeight="15" x14ac:dyDescent="0.25"/>
  <cols>
    <col min="1" max="1" width="1" customWidth="1"/>
  </cols>
  <sheetData>
    <row r="1" ht="3.6" customHeight="1" x14ac:dyDescent="0.25"/>
  </sheetData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A5236-A849-4BDC-B442-BFD74DC8A08D}">
  <sheetPr codeName="Planilha2"/>
  <dimension ref="A1:C7"/>
  <sheetViews>
    <sheetView workbookViewId="0">
      <selection activeCell="A4" sqref="A4"/>
    </sheetView>
  </sheetViews>
  <sheetFormatPr defaultRowHeight="15" x14ac:dyDescent="0.25"/>
  <cols>
    <col min="1" max="1" width="12.5703125" bestFit="1" customWidth="1"/>
    <col min="3" max="3" width="10.28515625" bestFit="1" customWidth="1"/>
  </cols>
  <sheetData>
    <row r="1" spans="1:3" x14ac:dyDescent="0.25">
      <c r="A1" t="s">
        <v>0</v>
      </c>
      <c r="C1" t="s">
        <v>7</v>
      </c>
    </row>
    <row r="2" spans="1:3" x14ac:dyDescent="0.25">
      <c r="A2" t="s">
        <v>1</v>
      </c>
      <c r="C2" t="s">
        <v>8</v>
      </c>
    </row>
    <row r="3" spans="1:3" x14ac:dyDescent="0.25">
      <c r="A3" t="s">
        <v>2</v>
      </c>
      <c r="C3" t="s">
        <v>9</v>
      </c>
    </row>
    <row r="4" spans="1:3" x14ac:dyDescent="0.25">
      <c r="A4" t="s">
        <v>3</v>
      </c>
      <c r="C4" t="s">
        <v>10</v>
      </c>
    </row>
    <row r="5" spans="1:3" x14ac:dyDescent="0.25">
      <c r="A5" t="s">
        <v>4</v>
      </c>
    </row>
    <row r="6" spans="1:3" x14ac:dyDescent="0.25">
      <c r="A6" t="s">
        <v>5</v>
      </c>
    </row>
    <row r="7" spans="1:3" x14ac:dyDescent="0.25">
      <c r="A7" t="s">
        <v>6</v>
      </c>
    </row>
  </sheetData>
  <pageMargins left="0.511811024" right="0.511811024" top="0.78740157499999996" bottom="0.78740157499999996" header="0.31496062000000002" footer="0.31496062000000002"/>
  <drawing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57735-160B-48CA-8927-086CB99F643B}">
  <sheetPr codeName="Planilha3"/>
  <dimension ref="A1:G19"/>
  <sheetViews>
    <sheetView workbookViewId="0">
      <selection activeCell="K6" sqref="K6"/>
    </sheetView>
  </sheetViews>
  <sheetFormatPr defaultRowHeight="15" x14ac:dyDescent="0.25"/>
  <cols>
    <col min="1" max="1" width="13.5703125" customWidth="1"/>
    <col min="2" max="2" width="14.7109375" bestFit="1" customWidth="1"/>
    <col min="3" max="3" width="12" bestFit="1" customWidth="1"/>
    <col min="4" max="4" width="25.85546875" bestFit="1" customWidth="1"/>
    <col min="5" max="5" width="14.7109375" bestFit="1" customWidth="1"/>
    <col min="6" max="6" width="10.7109375" bestFit="1" customWidth="1"/>
    <col min="7" max="7" width="18.85546875" customWidth="1"/>
  </cols>
  <sheetData>
    <row r="1" spans="1:7" x14ac:dyDescent="0.25">
      <c r="A1" s="1" t="s">
        <v>71</v>
      </c>
      <c r="B1" s="1" t="s">
        <v>0</v>
      </c>
      <c r="C1" s="1" t="s">
        <v>7</v>
      </c>
      <c r="D1" s="1" t="s">
        <v>12</v>
      </c>
      <c r="E1" s="1" t="s">
        <v>13</v>
      </c>
      <c r="F1" s="1" t="s">
        <v>14</v>
      </c>
      <c r="G1" s="1" t="s">
        <v>15</v>
      </c>
    </row>
    <row r="2" spans="1:7" x14ac:dyDescent="0.25">
      <c r="A2" s="1" t="s">
        <v>195</v>
      </c>
      <c r="B2" s="1" t="s">
        <v>205</v>
      </c>
      <c r="C2" s="1" t="s">
        <v>10</v>
      </c>
      <c r="D2" s="1"/>
      <c r="E2" s="1"/>
      <c r="F2" s="4"/>
      <c r="G2" s="2"/>
    </row>
    <row r="3" spans="1:7" x14ac:dyDescent="0.25">
      <c r="A3" s="1" t="s">
        <v>194</v>
      </c>
      <c r="B3" s="1" t="s">
        <v>188</v>
      </c>
      <c r="C3" s="1" t="s">
        <v>193</v>
      </c>
      <c r="D3" s="1"/>
      <c r="E3" s="1"/>
      <c r="F3" s="4"/>
      <c r="G3" s="2"/>
    </row>
    <row r="4" spans="1:7" x14ac:dyDescent="0.25">
      <c r="A4" s="1" t="s">
        <v>191</v>
      </c>
      <c r="B4" s="1" t="s">
        <v>188</v>
      </c>
      <c r="C4" s="1" t="s">
        <v>192</v>
      </c>
      <c r="D4" s="1"/>
      <c r="E4" s="1"/>
      <c r="F4" s="4"/>
      <c r="G4" s="2"/>
    </row>
    <row r="5" spans="1:7" x14ac:dyDescent="0.25">
      <c r="A5" s="1" t="s">
        <v>196</v>
      </c>
      <c r="B5" s="1" t="s">
        <v>205</v>
      </c>
      <c r="C5" s="1" t="s">
        <v>10</v>
      </c>
      <c r="D5" s="1"/>
      <c r="E5" s="1"/>
      <c r="F5" s="4"/>
      <c r="G5" s="2"/>
    </row>
    <row r="6" spans="1:7" x14ac:dyDescent="0.25">
      <c r="A6" s="1" t="s">
        <v>200</v>
      </c>
      <c r="B6" s="1" t="s">
        <v>6</v>
      </c>
      <c r="C6" s="1" t="s">
        <v>10</v>
      </c>
      <c r="D6" s="1"/>
      <c r="E6" s="1"/>
      <c r="F6" s="4"/>
      <c r="G6" s="2"/>
    </row>
    <row r="7" spans="1:7" x14ac:dyDescent="0.25">
      <c r="A7" s="1" t="s">
        <v>202</v>
      </c>
      <c r="B7" s="1" t="s">
        <v>6</v>
      </c>
      <c r="C7" s="1" t="s">
        <v>10</v>
      </c>
      <c r="D7" s="1"/>
      <c r="E7" s="1"/>
      <c r="F7" s="4"/>
      <c r="G7" s="2"/>
    </row>
    <row r="8" spans="1:7" x14ac:dyDescent="0.25">
      <c r="A8" s="1" t="s">
        <v>197</v>
      </c>
      <c r="B8" s="1" t="s">
        <v>188</v>
      </c>
      <c r="C8" s="1" t="s">
        <v>192</v>
      </c>
      <c r="D8" s="1"/>
      <c r="E8" s="1"/>
      <c r="F8" s="4"/>
      <c r="G8" s="2"/>
    </row>
    <row r="9" spans="1:7" x14ac:dyDescent="0.25">
      <c r="A9" s="1" t="s">
        <v>189</v>
      </c>
      <c r="B9" s="1" t="s">
        <v>188</v>
      </c>
      <c r="C9" s="1" t="s">
        <v>193</v>
      </c>
      <c r="D9" s="1"/>
      <c r="E9" s="1"/>
      <c r="F9" s="4"/>
      <c r="G9" s="2"/>
    </row>
    <row r="10" spans="1:7" x14ac:dyDescent="0.25">
      <c r="A10" s="1" t="s">
        <v>190</v>
      </c>
      <c r="B10" s="1" t="s">
        <v>185</v>
      </c>
      <c r="C10" s="1" t="s">
        <v>10</v>
      </c>
      <c r="D10" s="108" t="s">
        <v>186</v>
      </c>
      <c r="E10" s="1" t="s">
        <v>187</v>
      </c>
      <c r="F10" s="4">
        <v>1412</v>
      </c>
      <c r="G10" s="2">
        <v>43809</v>
      </c>
    </row>
    <row r="11" spans="1:7" x14ac:dyDescent="0.25">
      <c r="A11" s="1" t="s">
        <v>199</v>
      </c>
      <c r="B11" s="1" t="s">
        <v>6</v>
      </c>
      <c r="C11" s="1" t="s">
        <v>10</v>
      </c>
      <c r="D11" s="1"/>
      <c r="E11" s="1"/>
      <c r="F11" s="4"/>
      <c r="G11" s="2"/>
    </row>
    <row r="12" spans="1:7" x14ac:dyDescent="0.25">
      <c r="A12" s="1" t="s">
        <v>198</v>
      </c>
      <c r="B12" s="1" t="s">
        <v>6</v>
      </c>
      <c r="C12" s="1" t="s">
        <v>10</v>
      </c>
      <c r="D12" s="1"/>
      <c r="E12" s="1"/>
      <c r="F12" s="4"/>
      <c r="G12" s="2"/>
    </row>
    <row r="13" spans="1:7" x14ac:dyDescent="0.25">
      <c r="A13" s="1" t="s">
        <v>203</v>
      </c>
      <c r="B13" s="1" t="s">
        <v>6</v>
      </c>
      <c r="C13" s="1" t="s">
        <v>10</v>
      </c>
      <c r="D13" s="1"/>
      <c r="E13" s="1"/>
      <c r="F13" s="4"/>
      <c r="G13" s="2"/>
    </row>
    <row r="14" spans="1:7" x14ac:dyDescent="0.25">
      <c r="A14" s="1" t="s">
        <v>182</v>
      </c>
      <c r="B14" s="1" t="s">
        <v>6</v>
      </c>
      <c r="C14" s="1" t="s">
        <v>10</v>
      </c>
      <c r="D14" s="108" t="s">
        <v>183</v>
      </c>
      <c r="E14" s="1" t="s">
        <v>184</v>
      </c>
      <c r="F14" s="4">
        <v>1412</v>
      </c>
      <c r="G14" s="2">
        <v>43795</v>
      </c>
    </row>
    <row r="15" spans="1:7" x14ac:dyDescent="0.25">
      <c r="A15" s="1" t="s">
        <v>204</v>
      </c>
      <c r="B15" s="1" t="s">
        <v>205</v>
      </c>
      <c r="C15" s="1" t="s">
        <v>10</v>
      </c>
      <c r="D15" s="1"/>
      <c r="E15" s="1"/>
      <c r="F15" s="4"/>
      <c r="G15" s="2"/>
    </row>
    <row r="16" spans="1:7" x14ac:dyDescent="0.25">
      <c r="A16" s="1" t="s">
        <v>175</v>
      </c>
      <c r="B16" s="1" t="s">
        <v>6</v>
      </c>
      <c r="C16" s="1" t="s">
        <v>10</v>
      </c>
      <c r="D16" s="108" t="s">
        <v>176</v>
      </c>
      <c r="E16" s="1" t="s">
        <v>177</v>
      </c>
      <c r="F16" s="4">
        <v>1412</v>
      </c>
      <c r="G16" s="2">
        <v>43795</v>
      </c>
    </row>
    <row r="17" spans="1:7" x14ac:dyDescent="0.25">
      <c r="A17" s="1" t="s">
        <v>206</v>
      </c>
      <c r="B17" s="1" t="s">
        <v>207</v>
      </c>
      <c r="C17" s="1" t="s">
        <v>208</v>
      </c>
      <c r="D17" s="1"/>
      <c r="E17" s="1"/>
      <c r="F17" s="4"/>
      <c r="G17" s="2"/>
    </row>
    <row r="18" spans="1:7" x14ac:dyDescent="0.25">
      <c r="A18" s="1" t="s">
        <v>209</v>
      </c>
      <c r="B18" s="1" t="s">
        <v>210</v>
      </c>
      <c r="C18" s="1" t="s">
        <v>211</v>
      </c>
      <c r="D18" s="108" t="s">
        <v>212</v>
      </c>
      <c r="E18" s="1" t="s">
        <v>213</v>
      </c>
      <c r="F18" s="4">
        <v>1450</v>
      </c>
      <c r="G18" s="2">
        <v>43904</v>
      </c>
    </row>
    <row r="19" spans="1:7" x14ac:dyDescent="0.25">
      <c r="A19" s="1"/>
      <c r="B19" s="1"/>
      <c r="C19" s="1"/>
      <c r="D19" s="108"/>
      <c r="E19" s="1"/>
      <c r="F19" s="4"/>
      <c r="G19" s="2"/>
    </row>
  </sheetData>
  <dataValidations count="1">
    <dataValidation type="custom" allowBlank="1" showInputMessage="1" showErrorMessage="1" sqref="G20" xr:uid="{0B40E2FA-01B9-4798-879B-3BD0964E92AE}">
      <formula1>"DESLOC(Funcionarios[Nome];0;0;CONT.VALORES(Funcionarios[Nome]);1)"</formula1>
    </dataValidation>
  </dataValidations>
  <hyperlinks>
    <hyperlink ref="D16" r:id="rId1" xr:uid="{20BA5D52-C35A-418D-BF79-993739531A44}"/>
    <hyperlink ref="D14" r:id="rId2" xr:uid="{F3EFF9DE-7215-4FDB-A60D-A810C0EE2E83}"/>
    <hyperlink ref="D10" r:id="rId3" xr:uid="{2DFAFCB3-ACC7-4CB3-8009-B26ED0BE1AD9}"/>
    <hyperlink ref="D18" r:id="rId4" xr:uid="{3D162871-CBFE-4E0D-9E23-1D7B5EDDC7E1}"/>
  </hyperlinks>
  <pageMargins left="0.511811024" right="0.511811024" top="0.78740157499999996" bottom="0.78740157499999996" header="0.31496062000000002" footer="0.31496062000000002"/>
  <drawing r:id="rId5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819CB-A4F5-48E7-AE25-5032673BAE67}">
  <sheetPr codeName="Planilha4">
    <pageSetUpPr fitToPage="1"/>
  </sheetPr>
  <dimension ref="A1:AN367"/>
  <sheetViews>
    <sheetView showGridLines="0" showZeros="0" topLeftCell="E1" zoomScale="78" zoomScaleNormal="78" workbookViewId="0">
      <pane ySplit="1" topLeftCell="A345" activePane="bottomLeft" state="frozen"/>
      <selection activeCell="F1" sqref="F1"/>
      <selection pane="bottomLeft" activeCell="T350" sqref="T350"/>
    </sheetView>
  </sheetViews>
  <sheetFormatPr defaultRowHeight="15" outlineLevelCol="1" x14ac:dyDescent="0.25"/>
  <cols>
    <col min="1" max="1" width="12.5703125" customWidth="1"/>
    <col min="2" max="2" width="12.42578125" bestFit="1" customWidth="1"/>
    <col min="3" max="3" width="9.5703125" style="33" hidden="1" customWidth="1" outlineLevel="1"/>
    <col min="4" max="4" width="11.7109375" style="33" bestFit="1" customWidth="1" collapsed="1"/>
    <col min="5" max="5" width="20.5703125" style="33" bestFit="1" customWidth="1"/>
    <col min="6" max="6" width="12.85546875" style="33" hidden="1" customWidth="1" outlineLevel="1"/>
    <col min="7" max="7" width="23.5703125" style="33" bestFit="1" customWidth="1" collapsed="1"/>
    <col min="8" max="8" width="12.85546875" style="33" bestFit="1" customWidth="1"/>
    <col min="9" max="9" width="12.85546875" style="33" hidden="1" customWidth="1" outlineLevel="1"/>
    <col min="10" max="10" width="27.85546875" style="33" bestFit="1" customWidth="1" collapsed="1"/>
    <col min="11" max="11" width="24.85546875" style="33" bestFit="1" customWidth="1"/>
    <col min="12" max="12" width="19.140625" style="33" bestFit="1" customWidth="1"/>
    <col min="13" max="13" width="15.85546875" style="33" bestFit="1" customWidth="1"/>
    <col min="14" max="14" width="11" hidden="1" customWidth="1" outlineLevel="1"/>
    <col min="15" max="15" width="25.28515625" style="1" hidden="1" customWidth="1" outlineLevel="1"/>
    <col min="16" max="16" width="16.85546875" bestFit="1" customWidth="1" collapsed="1"/>
    <col min="17" max="17" width="18.85546875" style="10" bestFit="1" customWidth="1"/>
    <col min="18" max="19" width="10.140625" style="10" bestFit="1" customWidth="1"/>
    <col min="20" max="20" width="12" bestFit="1" customWidth="1"/>
    <col min="21" max="21" width="11.5703125" customWidth="1"/>
    <col min="22" max="22" width="9.140625" customWidth="1" outlineLevel="1"/>
    <col min="23" max="23" width="7.85546875" customWidth="1" outlineLevel="1"/>
    <col min="24" max="24" width="19.7109375" customWidth="1" outlineLevel="1"/>
    <col min="25" max="26" width="8.28515625" customWidth="1" outlineLevel="1"/>
    <col min="27" max="27" width="7.85546875" customWidth="1" outlineLevel="1"/>
    <col min="28" max="29" width="6.42578125" customWidth="1" outlineLevel="1"/>
    <col min="30" max="30" width="10.7109375" bestFit="1" customWidth="1"/>
    <col min="31" max="31" width="7.140625" hidden="1" customWidth="1" outlineLevel="1"/>
    <col min="32" max="32" width="5.7109375" hidden="1" customWidth="1" outlineLevel="1"/>
    <col min="33" max="33" width="8.7109375" hidden="1" customWidth="1" outlineLevel="1"/>
    <col min="34" max="34" width="14.42578125" hidden="1" customWidth="1" outlineLevel="1"/>
    <col min="35" max="35" width="17.28515625" hidden="1" customWidth="1" outlineLevel="1"/>
    <col min="36" max="36" width="6.28515625" hidden="1" customWidth="1" outlineLevel="1"/>
    <col min="37" max="37" width="22.42578125" hidden="1" customWidth="1" outlineLevel="1"/>
    <col min="38" max="38" width="19.28515625" hidden="1" customWidth="1" outlineLevel="1"/>
    <col min="39" max="39" width="13.140625" hidden="1" customWidth="1" outlineLevel="1"/>
    <col min="40" max="40" width="9.140625" collapsed="1"/>
  </cols>
  <sheetData>
    <row r="1" spans="1:39" ht="30" customHeight="1" x14ac:dyDescent="0.25">
      <c r="A1" s="41" t="s">
        <v>71</v>
      </c>
      <c r="B1" s="41" t="s">
        <v>64</v>
      </c>
      <c r="C1" s="41" t="s">
        <v>72</v>
      </c>
      <c r="D1" s="41" t="s">
        <v>65</v>
      </c>
      <c r="E1" s="42" t="s">
        <v>66</v>
      </c>
      <c r="F1" s="42" t="s">
        <v>73</v>
      </c>
      <c r="G1" s="42" t="s">
        <v>67</v>
      </c>
      <c r="H1" s="42" t="s">
        <v>74</v>
      </c>
      <c r="I1" s="42" t="s">
        <v>68</v>
      </c>
      <c r="J1" s="42" t="s">
        <v>69</v>
      </c>
      <c r="K1" s="42" t="s">
        <v>70</v>
      </c>
      <c r="L1" s="42" t="s">
        <v>50</v>
      </c>
      <c r="M1" s="42" t="s">
        <v>75</v>
      </c>
      <c r="N1" s="42" t="s">
        <v>76</v>
      </c>
      <c r="O1" s="43" t="s">
        <v>81</v>
      </c>
      <c r="P1" s="42" t="s">
        <v>178</v>
      </c>
      <c r="Q1" s="111" t="s">
        <v>179</v>
      </c>
      <c r="R1" s="111" t="s">
        <v>180</v>
      </c>
      <c r="S1" s="111" t="s">
        <v>181</v>
      </c>
      <c r="T1" s="3">
        <v>43739</v>
      </c>
      <c r="V1" s="109">
        <v>-4.1666666666666664E-2</v>
      </c>
      <c r="W1" s="109">
        <v>6.9444444444444441E-3</v>
      </c>
      <c r="X1" s="34">
        <v>3.7499999999999999E-2</v>
      </c>
      <c r="Y1" s="34">
        <v>0.34027777777777773</v>
      </c>
      <c r="Z1" s="34">
        <v>0.75694444444444453</v>
      </c>
      <c r="AA1" s="34">
        <v>0.38194444444444442</v>
      </c>
      <c r="AB1" s="35">
        <v>4.1666666666666664E-2</v>
      </c>
      <c r="AC1" s="35">
        <v>0.54166666666666663</v>
      </c>
      <c r="AD1" s="1"/>
      <c r="AE1" s="44" t="s">
        <v>71</v>
      </c>
      <c r="AF1" s="45" t="s">
        <v>64</v>
      </c>
      <c r="AG1" s="45" t="s">
        <v>65</v>
      </c>
      <c r="AH1" s="46" t="s">
        <v>66</v>
      </c>
      <c r="AI1" s="46" t="s">
        <v>67</v>
      </c>
      <c r="AJ1" s="46" t="s">
        <v>68</v>
      </c>
      <c r="AK1" s="46" t="s">
        <v>69</v>
      </c>
      <c r="AL1" s="46" t="s">
        <v>70</v>
      </c>
      <c r="AM1" s="46" t="s">
        <v>50</v>
      </c>
    </row>
    <row r="2" spans="1:39" x14ac:dyDescent="0.25">
      <c r="A2" s="115" t="s">
        <v>191</v>
      </c>
      <c r="B2" s="32">
        <v>43807</v>
      </c>
      <c r="C2" s="39">
        <f t="shared" ref="C2:C65" si="0">IF(D2="","",IF(D2&lt;=$Y$4,$Z$4,IF(D2&lt;=$AA$4,$Z$4,D2)))</f>
        <v>0.33333333333333331</v>
      </c>
      <c r="D2" s="33">
        <v>0.33333333333333331</v>
      </c>
      <c r="E2" s="33">
        <v>0.5</v>
      </c>
      <c r="F2" s="39">
        <f t="shared" ref="F2:F65" si="1">IF(G2-E2&lt;=$X$1,G2,E2+$AB$1)</f>
        <v>0.54166666666666663</v>
      </c>
      <c r="G2" s="33">
        <v>0.54166666666666663</v>
      </c>
      <c r="H2" s="33">
        <v>0.66666666666666663</v>
      </c>
      <c r="I2" s="39">
        <f>IFERROR(IF(B2=VLOOKUP(B2,Feriados[],2,0),H2,IF(N2="Sáb",H2,IF(AND(B2&lt;$T$1,H2&lt;=$AA$3),$Z$3,IF(AND(N2="Sex",H2&gt;$AA$3),H2,IF(H2&lt;=$AA$3,$Z$3,IF(H2&lt;=$AA$8,$Z$8,H2)))))),IF(N2="Sáb",H2,IF(AND(B2&lt;$T$1,H2&lt;=$AA$3),$Z$3,IF(AND(N2="Sex",H2&gt;$AA$3),H2,IF(H2&lt;=$AA$3,$Z$3,IF(H2&lt;=$AA$8,$Z$8,H2))))))</f>
        <v>0.66666666666666663</v>
      </c>
      <c r="J2" s="33">
        <f t="shared" ref="J2:J65" si="2">IF((H2-D2)-(G2-E2)&lt;$AB$1,"",IF(AND(B2&lt;$T$1,(H2-D2)-(G2-E2)&gt;$Y$2),$Y$2,IF(AND(N2="Sex",(H2-D2)-(G2-E2)&gt;$Y$2),$Y$2,IF((H2-D2)-(G2-E2)&gt;$X$2,$X$2,(H2-D2)-(G2-E2)))))</f>
        <v>0.29166666666666669</v>
      </c>
      <c r="K2" s="33">
        <f>IFERROR(IF(H2="","",IF(B2=VLOOKUP(B2,Feriados[],2,0),(H2-D2)-(G2-E2),IF(D2&lt;=$Y$4,(I2-D2)-(G2-E2),(I2-C2)-(F2-E2)))),IF(AND(D2&lt;=$Y$4,F2-E2=$AB$1),(I2-D2)-(F2-E2),IF(D2&lt;$Y$4,(I2-D2)-(G2-E2),(I2-C2)-(F2-E2))))</f>
        <v>0.29166666666666669</v>
      </c>
      <c r="L2" s="40">
        <f>IF(B2=_xlfn.XLOOKUP(B2,Feriados[FE Oficial],Feriados[FE Talvez],"",0),"",IF(Q2="Compensado","",IF(AND(N2="Sex",D2&lt;$Y$4),($Z$4-D2)+$AB$1-(F2-E2)+(I2-$Z$3),IF(AND(N2="Sex",I2&gt;$Z$3),($AB$1-(F2-E2))+(I2-$Z$3),IF(AND(N2="Sex",E2&lt;&gt;"",D2&lt;$Y$4),($Z$4-D2)+$AB$1-(F2-E2)+(I2-$Z$3),IF(N2="Sáb",(I2-D2)-(G2-E2)-(S2-R2),IF(AND(B2&lt;$T$1,I2&gt;$Z$3),H2-$Z$3,IF(D2&lt;$Y$4,($Z$4-D2)+($AB$1-(F2-E2))+(I2-$Z$8)+(S2-R2),IF(AND(S2&lt;&gt;"",D2&gt;$Z$4),(S2-R2)-($AB$1-(F2-E2)),IF(AND(S2&lt;&gt;"",D2&lt;$Y$4),(S2-R2)-($AB$1-(F2-E2)+($Z$4-D2)),IF(I2&gt;$Z$8,($AB$1-(F2-E2))+(I2-$Z$8),IF(AND(N2="Sex",(F2-E2)&lt;($AB$1-$W$1)),($AB$1-(F2-E2)),IF(AND(O2&gt;($AB$1-$W$1),D2&gt;$Z$4),"",IF(AND(B2&gt;=$T$1,(F2-E2)&gt;($AB$1-$W$1)),"",IF(AND(D2&gt;=$Y$4,I2=$Z$8,S2=""),($AB$1-(F2-E2)),IF(AND(P2&lt;&gt;"",S2&lt;&gt;""),I2-$Z$8,IF(AND(P2&lt;&gt;"",D2&gt;$Y$4),$AB$1-(F2-E2),"")))))))))))))))))</f>
        <v>0.29166666666666669</v>
      </c>
      <c r="M2" s="107" t="str">
        <f>IFERROR(IF(H2="","",IF(B2=VLOOKUP(B2,Feriados[],2,0),(H2-D2)-(G2-E2),"")),"")</f>
        <v/>
      </c>
      <c r="N2" s="38" t="str">
        <f t="shared" ref="N2:N65" si="3">PROPER(TEXT(B2,"DDD"))</f>
        <v>Sáb</v>
      </c>
      <c r="O2" s="112">
        <f t="shared" ref="O2:O65" si="4">G2-E2</f>
        <v>4.166666666666663E-2</v>
      </c>
      <c r="P2" s="113" t="str">
        <f>IF(B2=_xlfn.XLOOKUP(B2,Feriados[FE Oficial],Feriados[FE Talvez],"",0),"",IF(B2&lt;$T$1,"",IF(Q2="Consulta","",IF(Q2="Compensado","",IF(N2="Sáb","",IF(S2&lt;&gt;"",(S2-R2)-(($AB$1-O2)-(D2-$Z$4)),IF(O2&gt;$AB$1,O2-$AB$1,IF(C2&gt;$Z$4,C2-$Z$4,IF(AND(N2="Sex",G2&lt;&gt;"",H2=""),$Z$3-G2,IF(AND(G2&lt;&gt;"",H2=""),$Z$3-G2,IF(AND(N2="Sex",H2&lt;$Y$3),$Z$3-H2,IF(AND(N2&lt;&gt;"Sex",H2&gt;$AA$8),"",IF(AND(N2="Sex",H2&gt;$Z$8),"",IF(AND(N2&lt;&gt;"Sex",I2&gt;$Z$8),$Z$8-H2,IF(AND(N2&lt;&gt;"Sex",H2&lt;$Y$8),$Z$8-H2,"")))))))))))))))</f>
        <v/>
      </c>
      <c r="Q2" s="33"/>
      <c r="R2" s="33"/>
      <c r="S2" s="33"/>
      <c r="U2" s="10"/>
      <c r="V2" s="10"/>
      <c r="W2" s="10"/>
      <c r="X2" s="35">
        <v>0.375</v>
      </c>
      <c r="Y2" s="35">
        <v>0.33333333333333331</v>
      </c>
      <c r="Z2" s="36"/>
      <c r="AA2" s="36"/>
      <c r="AB2" s="36"/>
      <c r="AC2" s="36"/>
      <c r="AD2" s="1"/>
      <c r="AE2" s="1"/>
      <c r="AF2" s="2"/>
      <c r="AG2" s="33"/>
      <c r="AH2" s="33"/>
      <c r="AI2" s="33"/>
      <c r="AJ2" s="39"/>
      <c r="AK2" s="33"/>
      <c r="AL2" s="33"/>
      <c r="AM2" s="40"/>
    </row>
    <row r="3" spans="1:39" x14ac:dyDescent="0.25">
      <c r="A3" s="115" t="s">
        <v>195</v>
      </c>
      <c r="B3" s="32">
        <v>43807</v>
      </c>
      <c r="C3" s="39">
        <f t="shared" si="0"/>
        <v>0.33333333333333331</v>
      </c>
      <c r="D3" s="33">
        <v>0.33333333333333331</v>
      </c>
      <c r="E3" s="33">
        <v>0.5</v>
      </c>
      <c r="F3" s="39">
        <f t="shared" si="1"/>
        <v>0.54166666666666663</v>
      </c>
      <c r="G3" s="33">
        <v>0.54166666666666663</v>
      </c>
      <c r="H3" s="33">
        <v>0.66666666666666663</v>
      </c>
      <c r="I3" s="39">
        <f>IFERROR(IF(B3=VLOOKUP(B3,Feriados[],2,0),H3,IF(N3="Sáb",H3,IF(AND(B3&lt;$T$1,H3&lt;=$AA$3),$Z$3,IF(AND(N3="Sex",H3&gt;$AA$3),H3,IF(H3&lt;=$AA$3,$Z$3,IF(H3&lt;=$AA$8,$Z$8,H3)))))),IF(N3="Sáb",H3,IF(AND(B3&lt;$T$1,H3&lt;=$AA$3),$Z$3,IF(AND(N3="Sex",H3&gt;$AA$3),H3,IF(H3&lt;=$AA$3,$Z$3,IF(H3&lt;=$AA$8,$Z$8,H3))))))</f>
        <v>0.66666666666666663</v>
      </c>
      <c r="J3" s="33">
        <f t="shared" si="2"/>
        <v>0.29166666666666669</v>
      </c>
      <c r="K3" s="33">
        <f>IFERROR(IF(H3="","",IF(B3=VLOOKUP(B3,Feriados[],2,0),(H3-D3)-(G3-E3),IF(D3&lt;=$Y$4,(I3-D3)-(G3-E3),(I3-C3)-(F3-E3)))),IF(AND(D3&lt;=$Y$4,F3-E3=$AB$1),(I3-D3)-(F3-E3),IF(D3&lt;$Y$4,(I3-D3)-(G3-E3),(I3-C3)-(F3-E3))))</f>
        <v>0.29166666666666669</v>
      </c>
      <c r="L3" s="40">
        <f>IF(B3=_xlfn.XLOOKUP(B3,Feriados[FE Oficial],Feriados[FE Talvez],"",0),"",IF(Q3="Compensado","",IF(AND(N3="Sex",D3&lt;$Y$4),($Z$4-D3)+$AB$1-(F3-E3)+(I3-$Z$3),IF(AND(N3="Sex",I3&gt;$Z$3),($AB$1-(F3-E3))+(I3-$Z$3),IF(AND(N3="Sex",E3&lt;&gt;"",D3&lt;$Y$4),($Z$4-D3)+$AB$1-(F3-E3)+(I3-$Z$3),IF(N3="Sáb",(I3-D3)-(G3-E3)-(S3-R3),IF(AND(B3&lt;$T$1,I3&gt;$Z$3),H3-$Z$3,IF(D3&lt;$Y$4,($Z$4-D3)+($AB$1-(F3-E3))+(I3-$Z$8)+(S3-R3),IF(AND(S3&lt;&gt;"",D3&gt;$Z$4),(S3-R3)-($AB$1-(F3-E3)),IF(AND(S3&lt;&gt;"",D3&lt;$Y$4),(S3-R3)-($AB$1-(F3-E3)+($Z$4-D3)),IF(I3&gt;$Z$8,($AB$1-(F3-E3))+(I3-$Z$8),IF(AND(N3="Sex",(F3-E3)&lt;($AB$1-$W$1)),($AB$1-(F3-E3)),IF(AND(O3&gt;($AB$1-$W$1),D3&gt;$Z$4),"",IF(AND(B3&gt;=$T$1,(F3-E3)&gt;($AB$1-$W$1)),"",IF(AND(D3&gt;=$Y$4,I3=$Z$8,S3=""),($AB$1-(F3-E3)),IF(AND(P3&lt;&gt;"",S3&lt;&gt;""),I3-$Z$8,IF(AND(P3&lt;&gt;"",D3&gt;$Y$4),$AB$1-(F3-E3),"")))))))))))))))))</f>
        <v>0.29166666666666669</v>
      </c>
      <c r="M3" s="107" t="str">
        <f>IFERROR(IF(H3="","",IF(B3=VLOOKUP(B3,Feriados[],2,0),(H3-D3)-(G3-E3),"")),"")</f>
        <v/>
      </c>
      <c r="N3" s="38" t="str">
        <f t="shared" si="3"/>
        <v>Sáb</v>
      </c>
      <c r="O3" s="112">
        <f t="shared" si="4"/>
        <v>4.166666666666663E-2</v>
      </c>
      <c r="P3" s="113" t="str">
        <f>IF(B3=_xlfn.XLOOKUP(B3,Feriados[FE Oficial],Feriados[FE Talvez],"",0),"",IF(B3&lt;$T$1,"",IF(Q3="Consulta","",IF(Q3="Compensado","",IF(N3="Sáb","",IF(S3&lt;&gt;"",(S3-R3)-(($AB$1-O3)-(D3-$Z$4)),IF(O3&gt;$AB$1,O3-$AB$1,IF(C3&gt;$Z$4,C3-$Z$4,IF(AND(N3="Sex",G3&lt;&gt;"",H3=""),$Z$3-G3,IF(AND(G3&lt;&gt;"",H3=""),$Z$3-G3,IF(AND(N3="Sex",H3&lt;$Y$3),$Z$3-H3,IF(AND(N3&lt;&gt;"Sex",H3&gt;$AA$8),"",IF(AND(N3="Sex",H3&gt;$Z$8),"",IF(AND(N3&lt;&gt;"Sex",I3&gt;$Z$8),$Z$8-H3,IF(AND(N3&lt;&gt;"Sex",H3&lt;$Y$8),$Z$8-H3,"")))))))))))))))</f>
        <v/>
      </c>
      <c r="Q3" s="33"/>
      <c r="R3" s="33"/>
      <c r="S3" s="33"/>
      <c r="U3" s="10"/>
      <c r="V3" s="10"/>
      <c r="W3" s="10"/>
      <c r="X3" s="34" t="s">
        <v>77</v>
      </c>
      <c r="Y3" s="34">
        <v>0.70486111111111116</v>
      </c>
      <c r="Z3" s="34">
        <v>0.70833333333333337</v>
      </c>
      <c r="AA3" s="34">
        <v>0.71527777777777779</v>
      </c>
      <c r="AB3" s="36"/>
      <c r="AC3" s="36"/>
      <c r="AD3" s="1"/>
      <c r="AE3" s="1"/>
      <c r="AF3" s="2"/>
      <c r="AG3" s="33"/>
      <c r="AH3" s="33"/>
      <c r="AI3" s="33"/>
      <c r="AJ3" s="39"/>
      <c r="AK3" s="33"/>
      <c r="AL3" s="33"/>
      <c r="AM3" s="40"/>
    </row>
    <row r="4" spans="1:39" x14ac:dyDescent="0.25">
      <c r="A4" s="115" t="s">
        <v>196</v>
      </c>
      <c r="B4" s="32">
        <v>43807</v>
      </c>
      <c r="C4" s="39">
        <f t="shared" si="0"/>
        <v>0.33333333333333331</v>
      </c>
      <c r="D4" s="33">
        <v>0.33333333333333331</v>
      </c>
      <c r="E4" s="33">
        <v>0.5</v>
      </c>
      <c r="F4" s="39">
        <f t="shared" si="1"/>
        <v>0.54166666666666663</v>
      </c>
      <c r="G4" s="33">
        <v>0.54166666666666663</v>
      </c>
      <c r="H4" s="33">
        <v>0.66666666666666663</v>
      </c>
      <c r="I4" s="39">
        <f>IFERROR(IF(B4=VLOOKUP(B4,Feriados[],2,0),H4,IF(N4="Sáb",H4,IF(AND(B4&lt;$T$1,H4&lt;=$AA$3),$Z$3,IF(AND(N4="Sex",H4&gt;$AA$3),H4,IF(H4&lt;=$AA$3,$Z$3,IF(H4&lt;=$AA$8,$Z$8,H4)))))),IF(N4="Sáb",H4,IF(AND(B4&lt;$T$1,H4&lt;=$AA$3),$Z$3,IF(AND(N4="Sex",H4&gt;$AA$3),H4,IF(H4&lt;=$AA$3,$Z$3,IF(H4&lt;=$AA$8,$Z$8,H4))))))</f>
        <v>0.66666666666666663</v>
      </c>
      <c r="J4" s="33">
        <f t="shared" si="2"/>
        <v>0.29166666666666669</v>
      </c>
      <c r="K4" s="33">
        <f>IFERROR(IF(H4="","",IF(B4=VLOOKUP(B4,Feriados[],2,0),(H4-D4)-(G4-E4),IF(D4&lt;=$Y$4,(I4-D4)-(G4-E4),(I4-C4)-(F4-E4)))),IF(AND(D4&lt;=$Y$4,F4-E4=$AB$1),(I4-D4)-(F4-E4),IF(D4&lt;$Y$4,(I4-D4)-(G4-E4),(I4-C4)-(F4-E4))))</f>
        <v>0.29166666666666669</v>
      </c>
      <c r="L4" s="40">
        <f>IF(B4=_xlfn.XLOOKUP(B4,Feriados[FE Oficial],Feriados[FE Talvez],"",0),"",IF(Q4="Compensado","",IF(AND(N4="Sex",D4&lt;$Y$4),($Z$4-D4)+$AB$1-(F4-E4)+(I4-$Z$3),IF(AND(N4="Sex",I4&gt;$Z$3),($AB$1-(F4-E4))+(I4-$Z$3),IF(AND(N4="Sex",E4&lt;&gt;"",D4&lt;$Y$4),($Z$4-D4)+$AB$1-(F4-E4)+(I4-$Z$3),IF(N4="Sáb",(I4-D4)-(G4-E4)-(S4-R4),IF(AND(B4&lt;$T$1,I4&gt;$Z$3),H4-$Z$3,IF(D4&lt;$Y$4,($Z$4-D4)+($AB$1-(F4-E4))+(I4-$Z$8)+(S4-R4),IF(AND(S4&lt;&gt;"",D4&gt;$Z$4),(S4-R4)-($AB$1-(F4-E4)),IF(AND(S4&lt;&gt;"",D4&lt;$Y$4),(S4-R4)-($AB$1-(F4-E4)+($Z$4-D4)),IF(I4&gt;$Z$8,($AB$1-(F4-E4))+(I4-$Z$8),IF(AND(N4="Sex",(F4-E4)&lt;($AB$1-$W$1)),($AB$1-(F4-E4)),IF(AND(O4&gt;($AB$1-$W$1),D4&gt;$Z$4),"",IF(AND(B4&gt;=$T$1,(F4-E4)&gt;($AB$1-$W$1)),"",IF(AND(D4&gt;=$Y$4,I4=$Z$8,S4=""),($AB$1-(F4-E4)),IF(AND(P4&lt;&gt;"",S4&lt;&gt;""),I4-$Z$8,IF(AND(P4&lt;&gt;"",D4&gt;$Y$4),$AB$1-(F4-E4),"")))))))))))))))))</f>
        <v>0.29166666666666669</v>
      </c>
      <c r="M4" s="107" t="str">
        <f>IFERROR(IF(H4="","",IF(B4=VLOOKUP(B4,Feriados[],2,0),(H4-D4)-(G4-E4),"")),"")</f>
        <v/>
      </c>
      <c r="N4" s="38" t="str">
        <f t="shared" si="3"/>
        <v>Sáb</v>
      </c>
      <c r="O4" s="112">
        <f t="shared" si="4"/>
        <v>4.166666666666663E-2</v>
      </c>
      <c r="P4" s="113" t="str">
        <f>IF(B4=_xlfn.XLOOKUP(B4,Feriados[FE Oficial],Feriados[FE Talvez],"",0),"",IF(B4&lt;$T$1,"",IF(Q4="Consulta","",IF(Q4="Compensado","",IF(N4="Sáb","",IF(S4&lt;&gt;"",(S4-R4)-(($AB$1-O4)-(D4-$Z$4)),IF(O4&gt;$AB$1,O4-$AB$1,IF(C4&gt;$Z$4,C4-$Z$4,IF(AND(N4="Sex",G4&lt;&gt;"",H4=""),$Z$3-G4,IF(AND(G4&lt;&gt;"",H4=""),$Z$3-G4,IF(AND(N4="Sex",H4&lt;$Y$3),$Z$3-H4,IF(AND(N4&lt;&gt;"Sex",H4&gt;$AA$8),"",IF(AND(N4="Sex",H4&gt;$Z$8),"",IF(AND(N4&lt;&gt;"Sex",I4&gt;$Z$8),$Z$8-H4,IF(AND(N4&lt;&gt;"Sex",H4&lt;$Y$8),$Z$8-H4,"")))))))))))))))</f>
        <v/>
      </c>
      <c r="Q4" s="33"/>
      <c r="R4" s="33"/>
      <c r="S4" s="33"/>
      <c r="U4" s="10"/>
      <c r="V4" s="10"/>
      <c r="W4" s="10"/>
      <c r="X4" s="37" t="s">
        <v>78</v>
      </c>
      <c r="Y4" s="34">
        <v>0.3263888888888889</v>
      </c>
      <c r="Z4" s="34">
        <v>0.33333333333333331</v>
      </c>
      <c r="AA4" s="34">
        <v>0.34027777777777773</v>
      </c>
      <c r="AB4" s="36"/>
      <c r="AC4" s="36"/>
      <c r="AD4" s="1"/>
      <c r="AE4" s="1"/>
      <c r="AF4" s="2"/>
      <c r="AG4" s="33"/>
      <c r="AH4" s="33"/>
      <c r="AI4" s="33"/>
      <c r="AJ4" s="39"/>
      <c r="AK4" s="33"/>
      <c r="AL4" s="33"/>
      <c r="AM4" s="40"/>
    </row>
    <row r="5" spans="1:39" x14ac:dyDescent="0.25">
      <c r="A5" s="115" t="s">
        <v>189</v>
      </c>
      <c r="B5" s="32">
        <v>43807</v>
      </c>
      <c r="C5" s="39">
        <f t="shared" si="0"/>
        <v>0.33333333333333331</v>
      </c>
      <c r="D5" s="33">
        <v>0.33333333333333331</v>
      </c>
      <c r="E5" s="33">
        <v>0.5</v>
      </c>
      <c r="F5" s="39">
        <f t="shared" si="1"/>
        <v>0.54166666666666663</v>
      </c>
      <c r="G5" s="33">
        <v>0.54166666666666663</v>
      </c>
      <c r="H5" s="33">
        <v>0.66666666666666663</v>
      </c>
      <c r="I5" s="39">
        <f>IFERROR(IF(B5=VLOOKUP(B5,Feriados[],2,0),H5,IF(N5="Sáb",H5,IF(AND(B5&lt;$T$1,H5&lt;=$AA$3),$Z$3,IF(AND(N5="Sex",H5&gt;$AA$3),H5,IF(H5&lt;=$AA$3,$Z$3,IF(H5&lt;=$AA$8,$Z$8,H5)))))),IF(N5="Sáb",H5,IF(AND(B5&lt;$T$1,H5&lt;=$AA$3),$Z$3,IF(AND(N5="Sex",H5&gt;$AA$3),H5,IF(H5&lt;=$AA$3,$Z$3,IF(H5&lt;=$AA$8,$Z$8,H5))))))</f>
        <v>0.66666666666666663</v>
      </c>
      <c r="J5" s="33">
        <f t="shared" si="2"/>
        <v>0.29166666666666669</v>
      </c>
      <c r="K5" s="33">
        <f>IFERROR(IF(H5="","",IF(B5=VLOOKUP(B5,Feriados[],2,0),(H5-D5)-(G5-E5),IF(D5&lt;=$Y$4,(I5-D5)-(G5-E5),(I5-C5)-(F5-E5)))),IF(AND(D5&lt;=$Y$4,F5-E5=$AB$1),(I5-D5)-(F5-E5),IF(D5&lt;$Y$4,(I5-D5)-(G5-E5),(I5-C5)-(F5-E5))))</f>
        <v>0.29166666666666669</v>
      </c>
      <c r="L5" s="40">
        <f>IF(B5=_xlfn.XLOOKUP(B5,Feriados[FE Oficial],Feriados[FE Talvez],"",0),"",IF(Q5="Compensado","",IF(AND(N5="Sex",D5&lt;$Y$4),($Z$4-D5)+$AB$1-(F5-E5)+(I5-$Z$3),IF(AND(N5="Sex",I5&gt;$Z$3),($AB$1-(F5-E5))+(I5-$Z$3),IF(AND(N5="Sex",E5&lt;&gt;"",D5&lt;$Y$4),($Z$4-D5)+$AB$1-(F5-E5)+(I5-$Z$3),IF(N5="Sáb",(I5-D5)-(G5-E5)-(S5-R5),IF(AND(B5&lt;$T$1,I5&gt;$Z$3),H5-$Z$3,IF(D5&lt;$Y$4,($Z$4-D5)+($AB$1-(F5-E5))+(I5-$Z$8)+(S5-R5),IF(AND(S5&lt;&gt;"",D5&gt;$Z$4),(S5-R5)-($AB$1-(F5-E5)),IF(AND(S5&lt;&gt;"",D5&lt;$Y$4),(S5-R5)-($AB$1-(F5-E5)+($Z$4-D5)),IF(I5&gt;$Z$8,($AB$1-(F5-E5))+(I5-$Z$8),IF(AND(N5="Sex",(F5-E5)&lt;($AB$1-$W$1)),($AB$1-(F5-E5)),IF(AND(O5&gt;($AB$1-$W$1),D5&gt;$Z$4),"",IF(AND(B5&gt;=$T$1,(F5-E5)&gt;($AB$1-$W$1)),"",IF(AND(D5&gt;=$Y$4,I5=$Z$8,S5=""),($AB$1-(F5-E5)),IF(AND(P5&lt;&gt;"",S5&lt;&gt;""),I5-$Z$8,IF(AND(P5&lt;&gt;"",D5&gt;$Y$4),$AB$1-(F5-E5),"")))))))))))))))))</f>
        <v>0.29166666666666669</v>
      </c>
      <c r="M5" s="107" t="str">
        <f>IFERROR(IF(H5="","",IF(B5=VLOOKUP(B5,Feriados[],2,0),(H5-D5)-(G5-E5),"")),"")</f>
        <v/>
      </c>
      <c r="N5" s="38" t="str">
        <f t="shared" si="3"/>
        <v>Sáb</v>
      </c>
      <c r="O5" s="112">
        <f t="shared" si="4"/>
        <v>4.166666666666663E-2</v>
      </c>
      <c r="P5" s="113" t="str">
        <f>IF(B5=_xlfn.XLOOKUP(B5,Feriados[FE Oficial],Feriados[FE Talvez],"",0),"",IF(B5&lt;$T$1,"",IF(Q5="Consulta","",IF(Q5="Compensado","",IF(N5="Sáb","",IF(S5&lt;&gt;"",(S5-R5)-(($AB$1-O5)-(D5-$Z$4)),IF(O5&gt;$AB$1,O5-$AB$1,IF(C5&gt;$Z$4,C5-$Z$4,IF(AND(N5="Sex",G5&lt;&gt;"",H5=""),$Z$3-G5,IF(AND(G5&lt;&gt;"",H5=""),$Z$3-G5,IF(AND(N5="Sex",H5&lt;$Y$3),$Z$3-H5,IF(AND(N5&lt;&gt;"Sex",H5&gt;$AA$8),"",IF(AND(N5="Sex",H5&gt;$Z$8),"",IF(AND(N5&lt;&gt;"Sex",I5&gt;$Z$8),$Z$8-H5,IF(AND(N5&lt;&gt;"Sex",H5&lt;$Y$8),$Z$8-H5,"")))))))))))))))</f>
        <v/>
      </c>
      <c r="Q5" s="33"/>
      <c r="R5" s="33"/>
      <c r="S5" s="33"/>
      <c r="U5" s="10"/>
      <c r="V5" s="10"/>
      <c r="W5" s="10"/>
      <c r="X5" s="34" t="s">
        <v>79</v>
      </c>
      <c r="Y5" s="34">
        <v>0.47916666666666669</v>
      </c>
      <c r="Z5" s="34">
        <v>0.47916666666666669</v>
      </c>
      <c r="AA5" s="34">
        <v>0.4826388888888889</v>
      </c>
      <c r="AB5" s="36"/>
      <c r="AC5" s="36"/>
      <c r="AD5" s="1"/>
      <c r="AE5" s="1"/>
      <c r="AF5" s="2"/>
      <c r="AG5" s="33"/>
      <c r="AH5" s="33"/>
      <c r="AI5" s="33"/>
      <c r="AJ5" s="39"/>
      <c r="AK5" s="33"/>
      <c r="AL5" s="33"/>
      <c r="AM5" s="40"/>
    </row>
    <row r="6" spans="1:39" x14ac:dyDescent="0.25">
      <c r="A6" s="115" t="s">
        <v>175</v>
      </c>
      <c r="B6" s="32">
        <v>43807</v>
      </c>
      <c r="C6" s="39">
        <f t="shared" si="0"/>
        <v>0.33333333333333331</v>
      </c>
      <c r="D6" s="33">
        <v>0.33333333333333331</v>
      </c>
      <c r="E6" s="33">
        <v>0.5</v>
      </c>
      <c r="F6" s="39">
        <f t="shared" si="1"/>
        <v>0.54166666666666663</v>
      </c>
      <c r="G6" s="33">
        <v>0.54166666666666663</v>
      </c>
      <c r="H6" s="33">
        <v>0.66666666666666663</v>
      </c>
      <c r="I6" s="39">
        <f>IFERROR(IF(B6=VLOOKUP(B6,Feriados[],2,0),H6,IF(N6="Sáb",H6,IF(AND(B6&lt;$T$1,H6&lt;=$AA$3),$Z$3,IF(AND(N6="Sex",H6&gt;$AA$3),H6,IF(H6&lt;=$AA$3,$Z$3,IF(H6&lt;=$AA$8,$Z$8,H6)))))),IF(N6="Sáb",H6,IF(AND(B6&lt;$T$1,H6&lt;=$AA$3),$Z$3,IF(AND(N6="Sex",H6&gt;$AA$3),H6,IF(H6&lt;=$AA$3,$Z$3,IF(H6&lt;=$AA$8,$Z$8,H6))))))</f>
        <v>0.66666666666666663</v>
      </c>
      <c r="J6" s="33">
        <f t="shared" si="2"/>
        <v>0.29166666666666669</v>
      </c>
      <c r="K6" s="33">
        <f>IFERROR(IF(H6="","",IF(B6=VLOOKUP(B6,Feriados[],2,0),(H6-D6)-(G6-E6),IF(D6&lt;=$Y$4,(I6-D6)-(G6-E6),(I6-C6)-(F6-E6)))),IF(AND(D6&lt;=$Y$4,F6-E6=$AB$1),(I6-D6)-(F6-E6),IF(D6&lt;$Y$4,(I6-D6)-(G6-E6),(I6-C6)-(F6-E6))))</f>
        <v>0.29166666666666669</v>
      </c>
      <c r="L6" s="40">
        <f>IF(B6=_xlfn.XLOOKUP(B6,Feriados[FE Oficial],Feriados[FE Talvez],"",0),"",IF(Q6="Compensado","",IF(AND(N6="Sex",D6&lt;$Y$4),($Z$4-D6)+$AB$1-(F6-E6)+(I6-$Z$3),IF(AND(N6="Sex",I6&gt;$Z$3),($AB$1-(F6-E6))+(I6-$Z$3),IF(AND(N6="Sex",E6&lt;&gt;"",D6&lt;$Y$4),($Z$4-D6)+$AB$1-(F6-E6)+(I6-$Z$3),IF(N6="Sáb",(I6-D6)-(G6-E6)-(S6-R6),IF(AND(B6&lt;$T$1,I6&gt;$Z$3),H6-$Z$3,IF(D6&lt;$Y$4,($Z$4-D6)+($AB$1-(F6-E6))+(I6-$Z$8)+(S6-R6),IF(AND(S6&lt;&gt;"",D6&gt;$Z$4),(S6-R6)-($AB$1-(F6-E6)),IF(AND(S6&lt;&gt;"",D6&lt;$Y$4),(S6-R6)-($AB$1-(F6-E6)+($Z$4-D6)),IF(I6&gt;$Z$8,($AB$1-(F6-E6))+(I6-$Z$8),IF(AND(N6="Sex",(F6-E6)&lt;($AB$1-$W$1)),($AB$1-(F6-E6)),IF(AND(O6&gt;($AB$1-$W$1),D6&gt;$Z$4),"",IF(AND(B6&gt;=$T$1,(F6-E6)&gt;($AB$1-$W$1)),"",IF(AND(D6&gt;=$Y$4,I6=$Z$8,S6=""),($AB$1-(F6-E6)),IF(AND(P6&lt;&gt;"",S6&lt;&gt;""),I6-$Z$8,IF(AND(P6&lt;&gt;"",D6&gt;$Y$4),$AB$1-(F6-E6),"")))))))))))))))))</f>
        <v>0.29166666666666669</v>
      </c>
      <c r="M6" s="107" t="str">
        <f>IFERROR(IF(H6="","",IF(B6=VLOOKUP(B6,Feriados[],2,0),(H6-D6)-(G6-E6),"")),"")</f>
        <v/>
      </c>
      <c r="N6" s="38" t="str">
        <f t="shared" si="3"/>
        <v>Sáb</v>
      </c>
      <c r="O6" s="112">
        <f t="shared" si="4"/>
        <v>4.166666666666663E-2</v>
      </c>
      <c r="P6" s="113" t="str">
        <f>IF(B6=_xlfn.XLOOKUP(B6,Feriados[FE Oficial],Feriados[FE Talvez],"",0),"",IF(B6&lt;$T$1,"",IF(Q6="Consulta","",IF(Q6="Compensado","",IF(N6="Sáb","",IF(S6&lt;&gt;"",(S6-R6)-(($AB$1-O6)-(D6-$Z$4)),IF(O6&gt;$AB$1,O6-$AB$1,IF(C6&gt;$Z$4,C6-$Z$4,IF(AND(N6="Sex",G6&lt;&gt;"",H6=""),$Z$3-G6,IF(AND(G6&lt;&gt;"",H6=""),$Z$3-G6,IF(AND(N6="Sex",H6&lt;$Y$3),$Z$3-H6,IF(AND(N6&lt;&gt;"Sex",H6&gt;$AA$8),"",IF(AND(N6="Sex",H6&gt;$Z$8),"",IF(AND(N6&lt;&gt;"Sex",I6&gt;$Z$8),$Z$8-H6,IF(AND(N6&lt;&gt;"Sex",H6&lt;$Y$8),$Z$8-H6,"")))))))))))))))</f>
        <v/>
      </c>
      <c r="Q6" s="33"/>
      <c r="R6" s="33"/>
      <c r="S6" s="33"/>
      <c r="U6" s="10"/>
      <c r="V6" s="10"/>
      <c r="W6" s="10"/>
      <c r="X6" s="34" t="s">
        <v>67</v>
      </c>
      <c r="Y6" s="34">
        <v>0.51736111111111105</v>
      </c>
      <c r="Z6" s="34">
        <v>0.52083333333333337</v>
      </c>
      <c r="AA6" s="34">
        <v>0.52430555555555558</v>
      </c>
      <c r="AB6" s="36"/>
      <c r="AC6" s="36"/>
      <c r="AD6" s="1"/>
      <c r="AE6" s="1"/>
      <c r="AF6" s="2"/>
      <c r="AG6" s="33"/>
      <c r="AH6" s="33"/>
      <c r="AI6" s="33"/>
      <c r="AJ6" s="39"/>
      <c r="AK6" s="33"/>
      <c r="AL6" s="33"/>
      <c r="AM6" s="40"/>
    </row>
    <row r="7" spans="1:39" x14ac:dyDescent="0.25">
      <c r="A7" s="115" t="s">
        <v>182</v>
      </c>
      <c r="B7" s="32">
        <v>43807</v>
      </c>
      <c r="C7" s="39">
        <f t="shared" si="0"/>
        <v>0.33333333333333331</v>
      </c>
      <c r="D7" s="33">
        <v>0.33333333333333331</v>
      </c>
      <c r="E7" s="33">
        <v>0.5</v>
      </c>
      <c r="F7" s="39">
        <f t="shared" si="1"/>
        <v>0.54166666666666663</v>
      </c>
      <c r="G7" s="33">
        <v>0.54166666666666663</v>
      </c>
      <c r="H7" s="33">
        <v>0.66666666666666663</v>
      </c>
      <c r="I7" s="39">
        <f>IFERROR(IF(B7=VLOOKUP(B7,Feriados[],2,0),H7,IF(N7="Sáb",H7,IF(AND(B7&lt;$T$1,H7&lt;=$AA$3),$Z$3,IF(AND(N7="Sex",H7&gt;$AA$3),H7,IF(H7&lt;=$AA$3,$Z$3,IF(H7&lt;=$AA$8,$Z$8,H7)))))),IF(N7="Sáb",H7,IF(AND(B7&lt;$T$1,H7&lt;=$AA$3),$Z$3,IF(AND(N7="Sex",H7&gt;$AA$3),H7,IF(H7&lt;=$AA$3,$Z$3,IF(H7&lt;=$AA$8,$Z$8,H7))))))</f>
        <v>0.66666666666666663</v>
      </c>
      <c r="J7" s="33">
        <f t="shared" si="2"/>
        <v>0.29166666666666669</v>
      </c>
      <c r="K7" s="33">
        <f>IFERROR(IF(H7="","",IF(B7=VLOOKUP(B7,Feriados[],2,0),(H7-D7)-(G7-E7),IF(D7&lt;=$Y$4,(I7-D7)-(G7-E7),(I7-C7)-(F7-E7)))),IF(AND(D7&lt;=$Y$4,F7-E7=$AB$1),(I7-D7)-(F7-E7),IF(D7&lt;$Y$4,(I7-D7)-(G7-E7),(I7-C7)-(F7-E7))))</f>
        <v>0.29166666666666669</v>
      </c>
      <c r="L7" s="40">
        <f>IF(B7=_xlfn.XLOOKUP(B7,Feriados[FE Oficial],Feriados[FE Talvez],"",0),"",IF(Q7="Compensado","",IF(AND(N7="Sex",D7&lt;$Y$4),($Z$4-D7)+$AB$1-(F7-E7)+(I7-$Z$3),IF(AND(N7="Sex",I7&gt;$Z$3),($AB$1-(F7-E7))+(I7-$Z$3),IF(AND(N7="Sex",E7&lt;&gt;"",D7&lt;$Y$4),($Z$4-D7)+$AB$1-(F7-E7)+(I7-$Z$3),IF(N7="Sáb",(I7-D7)-(G7-E7)-(S7-R7),IF(AND(B7&lt;$T$1,I7&gt;$Z$3),H7-$Z$3,IF(D7&lt;$Y$4,($Z$4-D7)+($AB$1-(F7-E7))+(I7-$Z$8)+(S7-R7),IF(AND(S7&lt;&gt;"",D7&gt;$Z$4),(S7-R7)-($AB$1-(F7-E7)),IF(AND(S7&lt;&gt;"",D7&lt;$Y$4),(S7-R7)-($AB$1-(F7-E7)+($Z$4-D7)),IF(I7&gt;$Z$8,($AB$1-(F7-E7))+(I7-$Z$8),IF(AND(N7="Sex",(F7-E7)&lt;($AB$1-$W$1)),($AB$1-(F7-E7)),IF(AND(O7&gt;($AB$1-$W$1),D7&gt;$Z$4),"",IF(AND(B7&gt;=$T$1,(F7-E7)&gt;($AB$1-$W$1)),"",IF(AND(D7&gt;=$Y$4,I7=$Z$8,S7=""),($AB$1-(F7-E7)),IF(AND(P7&lt;&gt;"",S7&lt;&gt;""),I7-$Z$8,IF(AND(P7&lt;&gt;"",D7&gt;$Y$4),$AB$1-(F7-E7),"")))))))))))))))))</f>
        <v>0.29166666666666669</v>
      </c>
      <c r="M7" s="107" t="str">
        <f>IFERROR(IF(H7="","",IF(B7=VLOOKUP(B7,Feriados[],2,0),(H7-D7)-(G7-E7),"")),"")</f>
        <v/>
      </c>
      <c r="N7" s="38" t="str">
        <f t="shared" si="3"/>
        <v>Sáb</v>
      </c>
      <c r="O7" s="112">
        <f t="shared" si="4"/>
        <v>4.166666666666663E-2</v>
      </c>
      <c r="P7" s="113" t="str">
        <f>IF(B7=_xlfn.XLOOKUP(B7,Feriados[FE Oficial],Feriados[FE Talvez],"",0),"",IF(B7&lt;$T$1,"",IF(Q7="Consulta","",IF(Q7="Compensado","",IF(N7="Sáb","",IF(S7&lt;&gt;"",(S7-R7)-(($AB$1-O7)-(D7-$Z$4)),IF(O7&gt;$AB$1,O7-$AB$1,IF(C7&gt;$Z$4,C7-$Z$4,IF(AND(N7="Sex",G7&lt;&gt;"",H7=""),$Z$3-G7,IF(AND(G7&lt;&gt;"",H7=""),$Z$3-G7,IF(AND(N7="Sex",H7&lt;$Y$3),$Z$3-H7,IF(AND(N7&lt;&gt;"Sex",H7&gt;$AA$8),"",IF(AND(N7="Sex",H7&gt;$Z$8),"",IF(AND(N7&lt;&gt;"Sex",I7&gt;$Z$8),$Z$8-H7,IF(AND(N7&lt;&gt;"Sex",H7&lt;$Y$8),$Z$8-H7,"")))))))))))))))</f>
        <v/>
      </c>
      <c r="Q7" s="33"/>
      <c r="R7" s="33"/>
      <c r="S7" s="33"/>
      <c r="U7" s="10"/>
      <c r="V7" s="10"/>
      <c r="W7" s="10"/>
      <c r="X7" s="37" t="s">
        <v>80</v>
      </c>
      <c r="Y7" s="35">
        <v>0.5</v>
      </c>
      <c r="Z7" s="35">
        <v>0.5</v>
      </c>
      <c r="AA7" s="35">
        <v>0.50347222222222221</v>
      </c>
      <c r="AB7" s="36"/>
      <c r="AC7" s="36"/>
      <c r="AD7" s="1"/>
      <c r="AE7" s="1"/>
      <c r="AF7" s="2"/>
      <c r="AG7" s="33"/>
      <c r="AH7" s="33"/>
      <c r="AI7" s="33"/>
      <c r="AJ7" s="39"/>
      <c r="AK7" s="33"/>
      <c r="AL7" s="33"/>
      <c r="AM7" s="40"/>
    </row>
    <row r="8" spans="1:39" x14ac:dyDescent="0.25">
      <c r="A8" s="115" t="s">
        <v>189</v>
      </c>
      <c r="B8" s="32">
        <v>43809</v>
      </c>
      <c r="C8" s="39">
        <f t="shared" si="0"/>
        <v>0.33333333333333331</v>
      </c>
      <c r="D8" s="33">
        <v>0.29166666666666669</v>
      </c>
      <c r="E8" s="33">
        <v>0.47916666666666669</v>
      </c>
      <c r="F8" s="39">
        <f t="shared" si="1"/>
        <v>0.52083333333333337</v>
      </c>
      <c r="G8" s="33">
        <v>0.52083333333333337</v>
      </c>
      <c r="H8" s="33">
        <v>0.83263888888888893</v>
      </c>
      <c r="I8" s="39">
        <f>IFERROR(IF(B8=VLOOKUP(B8,Feriados[],2,0),H8,IF(N8="Sáb",H8,IF(AND(B8&lt;$T$1,H8&lt;=$AA$3),$Z$3,IF(AND(N8="Sex",H8&gt;$AA$3),H8,IF(H8&lt;=$AA$3,$Z$3,IF(H8&lt;=$AA$8,$Z$8,H8)))))),IF(N8="Sáb",H8,IF(AND(B8&lt;$T$1,H8&lt;=$AA$3),$Z$3,IF(AND(N8="Sex",H8&gt;$AA$3),H8,IF(H8&lt;=$AA$3,$Z$3,IF(H8&lt;=$AA$8,$Z$8,H8))))))</f>
        <v>0.83263888888888893</v>
      </c>
      <c r="J8" s="33">
        <f t="shared" si="2"/>
        <v>0.375</v>
      </c>
      <c r="K8" s="33">
        <f>IFERROR(IF(H8="","",IF(B8=VLOOKUP(B8,Feriados[],2,0),(H8-D8)-(G8-E8),IF(D8&lt;=$Y$4,(I8-D8)-(G8-E8),(I8-C8)-(F8-E8)))),IF(AND(D8&lt;=$Y$4,F8-E8=$AB$1),(I8-D8)-(F8-E8),IF(D8&lt;$Y$4,(I8-D8)-(G8-E8),(I8-C8)-(F8-E8))))</f>
        <v>0.4993055555555555</v>
      </c>
      <c r="L8" s="40">
        <f>IF(B8=_xlfn.XLOOKUP(B8,Feriados[FE Oficial],Feriados[FE Talvez],"",0),"",IF(Q8="Compensado","",IF(AND(N8="Sex",D8&lt;$Y$4),($Z$4-D8)+$AB$1-(F8-E8)+(I8-$Z$3),IF(AND(N8="Sex",I8&gt;$Z$3),($AB$1-(F8-E8))+(I8-$Z$3),IF(AND(N8="Sex",E8&lt;&gt;"",D8&lt;$Y$4),($Z$4-D8)+$AB$1-(F8-E8)+(I8-$Z$3),IF(N8="Sáb",(I8-D8)-(G8-E8)-(S8-R8),IF(AND(B8&lt;$T$1,I8&gt;$Z$3),H8-$Z$3,IF(D8&lt;$Y$4,($Z$4-D8)+($AB$1-(F8-E8))+(I8-$Z$8)+(S8-R8),IF(AND(S8&lt;&gt;"",D8&gt;$Z$4),(S8-R8)-($AB$1-(F8-E8)),IF(AND(S8&lt;&gt;"",D8&lt;$Y$4),(S8-R8)-($AB$1-(F8-E8)+($Z$4-D8)),IF(I8&gt;$Z$8,($AB$1-(F8-E8))+(I8-$Z$8),IF(AND(N8="Sex",(F8-E8)&lt;($AB$1-$W$1)),($AB$1-(F8-E8)),IF(AND(O8&gt;($AB$1-$W$1),D8&gt;$Z$4),"",IF(AND(B8&gt;=$T$1,(F8-E8)&gt;($AB$1-$W$1)),"",IF(AND(D8&gt;=$Y$4,I8=$Z$8,S8=""),($AB$1-(F8-E8)),IF(AND(P8&lt;&gt;"",S8&lt;&gt;""),I8-$Z$8,IF(AND(P8&lt;&gt;"",D8&gt;$Y$4),$AB$1-(F8-E8),"")))))))))))))))))</f>
        <v>0.12430555555555553</v>
      </c>
      <c r="M8" s="107" t="str">
        <f>IFERROR(IF(H8="","",IF(B8=VLOOKUP(B8,Feriados[],2,0),(H8-D8)-(G8-E8),"")),"")</f>
        <v/>
      </c>
      <c r="N8" s="38" t="str">
        <f t="shared" si="3"/>
        <v>Seg</v>
      </c>
      <c r="O8" s="112">
        <f t="shared" si="4"/>
        <v>4.1666666666666685E-2</v>
      </c>
      <c r="P8" s="113" t="str">
        <f>IF(B8=_xlfn.XLOOKUP(B8,Feriados[FE Oficial],Feriados[FE Talvez],"",0),"",IF(B8&lt;$T$1,"",IF(Q8="Consulta","",IF(Q8="Compensado","",IF(N8="Sáb","",IF(S8&lt;&gt;"",(S8-R8)-(($AB$1-O8)-(D8-$Z$4)),IF(O8&gt;$AB$1,O8-$AB$1,IF(C8&gt;$Z$4,C8-$Z$4,IF(AND(N8="Sex",G8&lt;&gt;"",H8=""),$Z$3-G8,IF(AND(G8&lt;&gt;"",H8=""),$Z$3-G8,IF(AND(N8="Sex",H8&lt;$Y$3),$Z$3-H8,IF(AND(N8&lt;&gt;"Sex",H8&gt;$AA$8),"",IF(AND(N8="Sex",H8&gt;$Z$8),"",IF(AND(N8&lt;&gt;"Sex",I8&gt;$Z$8),$Z$8-H8,IF(AND(N8&lt;&gt;"Sex",H8&lt;$Y$8),$Z$8-H8,"")))))))))))))))</f>
        <v/>
      </c>
      <c r="Q8" s="33"/>
      <c r="R8" s="33"/>
      <c r="S8" s="33"/>
      <c r="U8" s="10"/>
      <c r="V8" s="10"/>
      <c r="W8" s="10"/>
      <c r="X8" s="32"/>
      <c r="Y8" s="33">
        <v>0.74652777777777779</v>
      </c>
      <c r="Z8" s="33">
        <v>0.75</v>
      </c>
      <c r="AA8" s="33">
        <v>0.75694444444444453</v>
      </c>
      <c r="AB8" s="33"/>
      <c r="AC8" s="33"/>
      <c r="AD8" s="1"/>
      <c r="AE8" s="1"/>
      <c r="AF8" s="2"/>
      <c r="AG8" s="33"/>
      <c r="AH8" s="33"/>
      <c r="AI8" s="33"/>
      <c r="AJ8" s="39"/>
      <c r="AK8" s="33"/>
      <c r="AL8" s="33"/>
      <c r="AM8" s="40"/>
    </row>
    <row r="9" spans="1:39" x14ac:dyDescent="0.25">
      <c r="A9" s="115" t="s">
        <v>175</v>
      </c>
      <c r="B9" s="32">
        <v>43809</v>
      </c>
      <c r="C9" s="39">
        <f t="shared" si="0"/>
        <v>0.33333333333333331</v>
      </c>
      <c r="D9" s="33">
        <v>0.33333333333333331</v>
      </c>
      <c r="E9" s="33">
        <v>0.5</v>
      </c>
      <c r="F9" s="39">
        <f t="shared" si="1"/>
        <v>0.54166666666666663</v>
      </c>
      <c r="G9" s="33">
        <v>0.54166666666666663</v>
      </c>
      <c r="H9" s="33">
        <v>0.83333333333333337</v>
      </c>
      <c r="I9" s="39">
        <f>IFERROR(IF(B9=VLOOKUP(B9,Feriados[],2,0),H9,IF(N9="Sáb",H9,IF(AND(B9&lt;$T$1,H9&lt;=$AA$3),$Z$3,IF(AND(N9="Sex",H9&gt;$AA$3),H9,IF(H9&lt;=$AA$3,$Z$3,IF(H9&lt;=$AA$8,$Z$8,H9)))))),IF(N9="Sáb",H9,IF(AND(B9&lt;$T$1,H9&lt;=$AA$3),$Z$3,IF(AND(N9="Sex",H9&gt;$AA$3),H9,IF(H9&lt;=$AA$3,$Z$3,IF(H9&lt;=$AA$8,$Z$8,H9))))))</f>
        <v>0.83333333333333337</v>
      </c>
      <c r="J9" s="33">
        <f t="shared" si="2"/>
        <v>0.375</v>
      </c>
      <c r="K9" s="33">
        <f>IFERROR(IF(H9="","",IF(B9=VLOOKUP(B9,Feriados[],2,0),(H9-D9)-(G9-E9),IF(D9&lt;=$Y$4,(I9-D9)-(G9-E9),(I9-C9)-(F9-E9)))),IF(AND(D9&lt;=$Y$4,F9-E9=$AB$1),(I9-D9)-(F9-E9),IF(D9&lt;$Y$4,(I9-D9)-(G9-E9),(I9-C9)-(F9-E9))))</f>
        <v>0.45833333333333337</v>
      </c>
      <c r="L9" s="40">
        <f>IF(B9=_xlfn.XLOOKUP(B9,Feriados[FE Oficial],Feriados[FE Talvez],"",0),"",IF(Q9="Compensado","",IF(AND(N9="Sex",D9&lt;$Y$4),($Z$4-D9)+$AB$1-(F9-E9)+(I9-$Z$3),IF(AND(N9="Sex",I9&gt;$Z$3),($AB$1-(F9-E9))+(I9-$Z$3),IF(AND(N9="Sex",E9&lt;&gt;"",D9&lt;$Y$4),($Z$4-D9)+$AB$1-(F9-E9)+(I9-$Z$3),IF(N9="Sáb",(I9-D9)-(G9-E9)-(S9-R9),IF(AND(B9&lt;$T$1,I9&gt;$Z$3),H9-$Z$3,IF(D9&lt;$Y$4,($Z$4-D9)+($AB$1-(F9-E9))+(I9-$Z$8)+(S9-R9),IF(AND(S9&lt;&gt;"",D9&gt;$Z$4),(S9-R9)-($AB$1-(F9-E9)),IF(AND(S9&lt;&gt;"",D9&lt;$Y$4),(S9-R9)-($AB$1-(F9-E9)+($Z$4-D9)),IF(I9&gt;$Z$8,($AB$1-(F9-E9))+(I9-$Z$8),IF(AND(N9="Sex",(F9-E9)&lt;($AB$1-$W$1)),($AB$1-(F9-E9)),IF(AND(O9&gt;($AB$1-$W$1),D9&gt;$Z$4),"",IF(AND(B9&gt;=$T$1,(F9-E9)&gt;($AB$1-$W$1)),"",IF(AND(D9&gt;=$Y$4,I9=$Z$8,S9=""),($AB$1-(F9-E9)),IF(AND(P9&lt;&gt;"",S9&lt;&gt;""),I9-$Z$8,IF(AND(P9&lt;&gt;"",D9&gt;$Y$4),$AB$1-(F9-E9),"")))))))))))))))))</f>
        <v>8.3333333333333398E-2</v>
      </c>
      <c r="M9" s="107" t="str">
        <f>IFERROR(IF(H9="","",IF(B9=VLOOKUP(B9,Feriados[],2,0),(H9-D9)-(G9-E9),"")),"")</f>
        <v/>
      </c>
      <c r="N9" s="38" t="str">
        <f t="shared" si="3"/>
        <v>Seg</v>
      </c>
      <c r="O9" s="112">
        <f t="shared" si="4"/>
        <v>4.166666666666663E-2</v>
      </c>
      <c r="P9" s="113" t="str">
        <f>IF(B9=_xlfn.XLOOKUP(B9,Feriados[FE Oficial],Feriados[FE Talvez],"",0),"",IF(B9&lt;$T$1,"",IF(Q9="Consulta","",IF(Q9="Compensado","",IF(N9="Sáb","",IF(S9&lt;&gt;"",(S9-R9)-(($AB$1-O9)-(D9-$Z$4)),IF(O9&gt;$AB$1,O9-$AB$1,IF(C9&gt;$Z$4,C9-$Z$4,IF(AND(N9="Sex",G9&lt;&gt;"",H9=""),$Z$3-G9,IF(AND(G9&lt;&gt;"",H9=""),$Z$3-G9,IF(AND(N9="Sex",H9&lt;$Y$3),$Z$3-H9,IF(AND(N9&lt;&gt;"Sex",H9&gt;$AA$8),"",IF(AND(N9="Sex",H9&gt;$Z$8),"",IF(AND(N9&lt;&gt;"Sex",I9&gt;$Z$8),$Z$8-H9,IF(AND(N9&lt;&gt;"Sex",H9&lt;$Y$8),$Z$8-H9,"")))))))))))))))</f>
        <v/>
      </c>
      <c r="Q9" s="106"/>
      <c r="R9" s="106"/>
      <c r="S9" s="106"/>
    </row>
    <row r="10" spans="1:39" x14ac:dyDescent="0.25">
      <c r="A10" s="115" t="s">
        <v>182</v>
      </c>
      <c r="B10" s="32">
        <v>43809</v>
      </c>
      <c r="C10" s="39">
        <f t="shared" si="0"/>
        <v>0.33333333333333331</v>
      </c>
      <c r="D10" s="33">
        <v>0.33333333333333331</v>
      </c>
      <c r="E10" s="33">
        <v>0.5</v>
      </c>
      <c r="F10" s="39">
        <f t="shared" si="1"/>
        <v>0.54166666666666663</v>
      </c>
      <c r="G10" s="33">
        <v>0.54166666666666663</v>
      </c>
      <c r="H10" s="33">
        <v>0.83333333333333337</v>
      </c>
      <c r="I10" s="39">
        <f>IFERROR(IF(B10=VLOOKUP(B10,Feriados[],2,0),H10,IF(N10="Sáb",H10,IF(AND(B10&lt;$T$1,H10&lt;=$AA$3),$Z$3,IF(AND(N10="Sex",H10&gt;$AA$3),H10,IF(H10&lt;=$AA$3,$Z$3,IF(H10&lt;=$AA$8,$Z$8,H10)))))),IF(N10="Sáb",H10,IF(AND(B10&lt;$T$1,H10&lt;=$AA$3),$Z$3,IF(AND(N10="Sex",H10&gt;$AA$3),H10,IF(H10&lt;=$AA$3,$Z$3,IF(H10&lt;=$AA$8,$Z$8,H10))))))</f>
        <v>0.83333333333333337</v>
      </c>
      <c r="J10" s="33">
        <f t="shared" si="2"/>
        <v>0.375</v>
      </c>
      <c r="K10" s="33">
        <f>IFERROR(IF(H10="","",IF(B10=VLOOKUP(B10,Feriados[],2,0),(H10-D10)-(G10-E10),IF(D10&lt;=$Y$4,(I10-D10)-(G10-E10),(I10-C10)-(F10-E10)))),IF(AND(D10&lt;=$Y$4,F10-E10=$AB$1),(I10-D10)-(F10-E10),IF(D10&lt;$Y$4,(I10-D10)-(G10-E10),(I10-C10)-(F10-E10))))</f>
        <v>0.45833333333333337</v>
      </c>
      <c r="L10" s="40">
        <f>IF(B10=_xlfn.XLOOKUP(B10,Feriados[FE Oficial],Feriados[FE Talvez],"",0),"",IF(Q10="Compensado","",IF(AND(N10="Sex",D10&lt;$Y$4),($Z$4-D10)+$AB$1-(F10-E10)+(I10-$Z$3),IF(AND(N10="Sex",I10&gt;$Z$3),($AB$1-(F10-E10))+(I10-$Z$3),IF(AND(N10="Sex",E10&lt;&gt;"",D10&lt;$Y$4),($Z$4-D10)+$AB$1-(F10-E10)+(I10-$Z$3),IF(N10="Sáb",(I10-D10)-(G10-E10)-(S10-R10),IF(AND(B10&lt;$T$1,I10&gt;$Z$3),H10-$Z$3,IF(D10&lt;$Y$4,($Z$4-D10)+($AB$1-(F10-E10))+(I10-$Z$8)+(S10-R10),IF(AND(S10&lt;&gt;"",D10&gt;$Z$4),(S10-R10)-($AB$1-(F10-E10)),IF(AND(S10&lt;&gt;"",D10&lt;$Y$4),(S10-R10)-($AB$1-(F10-E10)+($Z$4-D10)),IF(I10&gt;$Z$8,($AB$1-(F10-E10))+(I10-$Z$8),IF(AND(N10="Sex",(F10-E10)&lt;($AB$1-$W$1)),($AB$1-(F10-E10)),IF(AND(O10&gt;($AB$1-$W$1),D10&gt;$Z$4),"",IF(AND(B10&gt;=$T$1,(F10-E10)&gt;($AB$1-$W$1)),"",IF(AND(D10&gt;=$Y$4,I10=$Z$8,S10=""),($AB$1-(F10-E10)),IF(AND(P10&lt;&gt;"",S10&lt;&gt;""),I10-$Z$8,IF(AND(P10&lt;&gt;"",D10&gt;$Y$4),$AB$1-(F10-E10),"")))))))))))))))))</f>
        <v>8.3333333333333398E-2</v>
      </c>
      <c r="M10" s="107" t="str">
        <f>IFERROR(IF(H10="","",IF(B10=VLOOKUP(B10,Feriados[],2,0),(H10-D10)-(G10-E10),"")),"")</f>
        <v/>
      </c>
      <c r="N10" s="38" t="str">
        <f t="shared" si="3"/>
        <v>Seg</v>
      </c>
      <c r="O10" s="112">
        <f t="shared" si="4"/>
        <v>4.166666666666663E-2</v>
      </c>
      <c r="P10" s="113" t="str">
        <f>IF(B10=_xlfn.XLOOKUP(B10,Feriados[FE Oficial],Feriados[FE Talvez],"",0),"",IF(B10&lt;$T$1,"",IF(Q10="Consulta","",IF(Q10="Compensado","",IF(N10="Sáb","",IF(S10&lt;&gt;"",(S10-R10)-(($AB$1-O10)-(D10-$Z$4)),IF(O10&gt;$AB$1,O10-$AB$1,IF(C10&gt;$Z$4,C10-$Z$4,IF(AND(N10="Sex",G10&lt;&gt;"",H10=""),$Z$3-G10,IF(AND(G10&lt;&gt;"",H10=""),$Z$3-G10,IF(AND(N10="Sex",H10&lt;$Y$3),$Z$3-H10,IF(AND(N10&lt;&gt;"Sex",H10&gt;$AA$8),"",IF(AND(N10="Sex",H10&gt;$Z$8),"",IF(AND(N10&lt;&gt;"Sex",I10&gt;$Z$8),$Z$8-H10,IF(AND(N10&lt;&gt;"Sex",H10&lt;$Y$8),$Z$8-H10,"")))))))))))))))</f>
        <v/>
      </c>
      <c r="Q10" s="106"/>
      <c r="R10" s="106"/>
      <c r="S10" s="106"/>
    </row>
    <row r="11" spans="1:39" x14ac:dyDescent="0.25">
      <c r="A11" s="115" t="s">
        <v>196</v>
      </c>
      <c r="B11" s="32">
        <v>43809</v>
      </c>
      <c r="C11" s="39">
        <f t="shared" si="0"/>
        <v>0.33333333333333331</v>
      </c>
      <c r="D11" s="33">
        <v>0.33333333333333331</v>
      </c>
      <c r="E11" s="33">
        <v>0.47916666666666669</v>
      </c>
      <c r="F11" s="39">
        <f t="shared" si="1"/>
        <v>0.52083333333333337</v>
      </c>
      <c r="G11" s="33">
        <v>0.52083333333333337</v>
      </c>
      <c r="H11" s="33">
        <v>0.83333333333333337</v>
      </c>
      <c r="I11" s="39">
        <f>IFERROR(IF(B11=VLOOKUP(B11,Feriados[],2,0),H11,IF(N11="Sáb",H11,IF(AND(B11&lt;$T$1,H11&lt;=$AA$3),$Z$3,IF(AND(N11="Sex",H11&gt;$AA$3),H11,IF(H11&lt;=$AA$3,$Z$3,IF(H11&lt;=$AA$8,$Z$8,H11)))))),IF(N11="Sáb",H11,IF(AND(B11&lt;$T$1,H11&lt;=$AA$3),$Z$3,IF(AND(N11="Sex",H11&gt;$AA$3),H11,IF(H11&lt;=$AA$3,$Z$3,IF(H11&lt;=$AA$8,$Z$8,H11))))))</f>
        <v>0.83333333333333337</v>
      </c>
      <c r="J11" s="33">
        <f t="shared" si="2"/>
        <v>0.375</v>
      </c>
      <c r="K11" s="33">
        <f>IFERROR(IF(H11="","",IF(B11=VLOOKUP(B11,Feriados[],2,0),(H11-D11)-(G11-E11),IF(D11&lt;=$Y$4,(I11-D11)-(G11-E11),(I11-C11)-(F11-E11)))),IF(AND(D11&lt;=$Y$4,F11-E11=$AB$1),(I11-D11)-(F11-E11),IF(D11&lt;$Y$4,(I11-D11)-(G11-E11),(I11-C11)-(F11-E11))))</f>
        <v>0.45833333333333331</v>
      </c>
      <c r="L11" s="40">
        <f>IF(B11=_xlfn.XLOOKUP(B11,Feriados[FE Oficial],Feriados[FE Talvez],"",0),"",IF(Q11="Compensado","",IF(AND(N11="Sex",D11&lt;$Y$4),($Z$4-D11)+$AB$1-(F11-E11)+(I11-$Z$3),IF(AND(N11="Sex",I11&gt;$Z$3),($AB$1-(F11-E11))+(I11-$Z$3),IF(AND(N11="Sex",E11&lt;&gt;"",D11&lt;$Y$4),($Z$4-D11)+$AB$1-(F11-E11)+(I11-$Z$3),IF(N11="Sáb",(I11-D11)-(G11-E11)-(S11-R11),IF(AND(B11&lt;$T$1,I11&gt;$Z$3),H11-$Z$3,IF(D11&lt;$Y$4,($Z$4-D11)+($AB$1-(F11-E11))+(I11-$Z$8)+(S11-R11),IF(AND(S11&lt;&gt;"",D11&gt;$Z$4),(S11-R11)-($AB$1-(F11-E11)),IF(AND(S11&lt;&gt;"",D11&lt;$Y$4),(S11-R11)-($AB$1-(F11-E11)+($Z$4-D11)),IF(I11&gt;$Z$8,($AB$1-(F11-E11))+(I11-$Z$8),IF(AND(N11="Sex",(F11-E11)&lt;($AB$1-$W$1)),($AB$1-(F11-E11)),IF(AND(O11&gt;($AB$1-$W$1),D11&gt;$Z$4),"",IF(AND(B11&gt;=$T$1,(F11-E11)&gt;($AB$1-$W$1)),"",IF(AND(D11&gt;=$Y$4,I11=$Z$8,S11=""),($AB$1-(F11-E11)),IF(AND(P11&lt;&gt;"",S11&lt;&gt;""),I11-$Z$8,IF(AND(P11&lt;&gt;"",D11&gt;$Y$4),$AB$1-(F11-E11),"")))))))))))))))))</f>
        <v>8.3333333333333343E-2</v>
      </c>
      <c r="M11" s="107" t="str">
        <f>IFERROR(IF(H11="","",IF(B11=VLOOKUP(B11,Feriados[],2,0),(H11-D11)-(G11-E11),"")),"")</f>
        <v/>
      </c>
      <c r="N11" s="38" t="str">
        <f t="shared" si="3"/>
        <v>Seg</v>
      </c>
      <c r="O11" s="112">
        <f t="shared" si="4"/>
        <v>4.1666666666666685E-2</v>
      </c>
      <c r="P11" s="113" t="str">
        <f>IF(B11=_xlfn.XLOOKUP(B11,Feriados[FE Oficial],Feriados[FE Talvez],"",0),"",IF(B11&lt;$T$1,"",IF(Q11="Consulta","",IF(Q11="Compensado","",IF(N11="Sáb","",IF(S11&lt;&gt;"",(S11-R11)-(($AB$1-O11)-(D11-$Z$4)),IF(O11&gt;$AB$1,O11-$AB$1,IF(C11&gt;$Z$4,C11-$Z$4,IF(AND(N11="Sex",G11&lt;&gt;"",H11=""),$Z$3-G11,IF(AND(G11&lt;&gt;"",H11=""),$Z$3-G11,IF(AND(N11="Sex",H11&lt;$Y$3),$Z$3-H11,IF(AND(N11&lt;&gt;"Sex",H11&gt;$AA$8),"",IF(AND(N11="Sex",H11&gt;$Z$8),"",IF(AND(N11&lt;&gt;"Sex",I11&gt;$Z$8),$Z$8-H11,IF(AND(N11&lt;&gt;"Sex",H11&lt;$Y$8),$Z$8-H11,"")))))))))))))))</f>
        <v/>
      </c>
      <c r="Q11" s="33"/>
      <c r="R11" s="33"/>
      <c r="S11" s="33"/>
    </row>
    <row r="12" spans="1:39" x14ac:dyDescent="0.25">
      <c r="A12" s="115" t="s">
        <v>191</v>
      </c>
      <c r="B12" s="32">
        <v>43809</v>
      </c>
      <c r="C12" s="39">
        <f t="shared" si="0"/>
        <v>0.33333333333333331</v>
      </c>
      <c r="D12" s="33">
        <v>0.33333333333333331</v>
      </c>
      <c r="E12" s="33">
        <v>0.47916666666666669</v>
      </c>
      <c r="F12" s="39">
        <f t="shared" si="1"/>
        <v>0.52083333333333337</v>
      </c>
      <c r="G12" s="33">
        <v>0.52083333333333337</v>
      </c>
      <c r="H12" s="33">
        <v>0.75</v>
      </c>
      <c r="I12" s="39">
        <f>IFERROR(IF(B12=VLOOKUP(B12,Feriados[],2,0),H12,IF(N12="Sáb",H12,IF(AND(B12&lt;$T$1,H12&lt;=$AA$3),$Z$3,IF(AND(N12="Sex",H12&gt;$AA$3),H12,IF(H12&lt;=$AA$3,$Z$3,IF(H12&lt;=$AA$8,$Z$8,H12)))))),IF(N12="Sáb",H12,IF(AND(B12&lt;$T$1,H12&lt;=$AA$3),$Z$3,IF(AND(N12="Sex",H12&gt;$AA$3),H12,IF(H12&lt;=$AA$3,$Z$3,IF(H12&lt;=$AA$8,$Z$8,H12))))))</f>
        <v>0.75</v>
      </c>
      <c r="J12" s="33">
        <f t="shared" si="2"/>
        <v>0.375</v>
      </c>
      <c r="K12" s="33">
        <f>IFERROR(IF(H12="","",IF(B12=VLOOKUP(B12,Feriados[],2,0),(H12-D12)-(G12-E12),IF(D12&lt;=$Y$4,(I12-D12)-(G12-E12),(I12-C12)-(F12-E12)))),IF(AND(D12&lt;=$Y$4,F12-E12=$AB$1),(I12-D12)-(F12-E12),IF(D12&lt;$Y$4,(I12-D12)-(G12-E12),(I12-C12)-(F12-E12))))</f>
        <v>0.375</v>
      </c>
      <c r="L12" s="40" t="str">
        <f>IF(B12=_xlfn.XLOOKUP(B12,Feriados[FE Oficial],Feriados[FE Talvez],"",0),"",IF(Q12="Compensado","",IF(AND(N12="Sex",D12&lt;$Y$4),($Z$4-D12)+$AB$1-(F12-E12)+(I12-$Z$3),IF(AND(N12="Sex",I12&gt;$Z$3),($AB$1-(F12-E12))+(I12-$Z$3),IF(AND(N12="Sex",E12&lt;&gt;"",D12&lt;$Y$4),($Z$4-D12)+$AB$1-(F12-E12)+(I12-$Z$3),IF(N12="Sáb",(I12-D12)-(G12-E12)-(S12-R12),IF(AND(B12&lt;$T$1,I12&gt;$Z$3),H12-$Z$3,IF(D12&lt;$Y$4,($Z$4-D12)+($AB$1-(F12-E12))+(I12-$Z$8)+(S12-R12),IF(AND(S12&lt;&gt;"",D12&gt;$Z$4),(S12-R12)-($AB$1-(F12-E12)),IF(AND(S12&lt;&gt;"",D12&lt;$Y$4),(S12-R12)-($AB$1-(F12-E12)+($Z$4-D12)),IF(I12&gt;$Z$8,($AB$1-(F12-E12))+(I12-$Z$8),IF(AND(N12="Sex",(F12-E12)&lt;($AB$1-$W$1)),($AB$1-(F12-E12)),IF(AND(O12&gt;($AB$1-$W$1),D12&gt;$Z$4),"",IF(AND(B12&gt;=$T$1,(F12-E12)&gt;($AB$1-$W$1)),"",IF(AND(D12&gt;=$Y$4,I12=$Z$8,S12=""),($AB$1-(F12-E12)),IF(AND(P12&lt;&gt;"",S12&lt;&gt;""),I12-$Z$8,IF(AND(P12&lt;&gt;"",D12&gt;$Y$4),$AB$1-(F12-E12),"")))))))))))))))))</f>
        <v/>
      </c>
      <c r="M12" s="107" t="str">
        <f>IFERROR(IF(H12="","",IF(B12=VLOOKUP(B12,Feriados[],2,0),(H12-D12)-(G12-E12),"")),"")</f>
        <v/>
      </c>
      <c r="N12" s="38" t="str">
        <f t="shared" si="3"/>
        <v>Seg</v>
      </c>
      <c r="O12" s="112">
        <f t="shared" si="4"/>
        <v>4.1666666666666685E-2</v>
      </c>
      <c r="P12" s="113" t="str">
        <f>IF(B12=_xlfn.XLOOKUP(B12,Feriados[FE Oficial],Feriados[FE Talvez],"",0),"",IF(B12&lt;$T$1,"",IF(Q12="Consulta","",IF(Q12="Compensado","",IF(N12="Sáb","",IF(S12&lt;&gt;"",(S12-R12)-(($AB$1-O12)-(D12-$Z$4)),IF(O12&gt;$AB$1,O12-$AB$1,IF(C12&gt;$Z$4,C12-$Z$4,IF(AND(N12="Sex",G12&lt;&gt;"",H12=""),$Z$3-G12,IF(AND(G12&lt;&gt;"",H12=""),$Z$3-G12,IF(AND(N12="Sex",H12&lt;$Y$3),$Z$3-H12,IF(AND(N12&lt;&gt;"Sex",H12&gt;$AA$8),"",IF(AND(N12="Sex",H12&gt;$Z$8),"",IF(AND(N12&lt;&gt;"Sex",I12&gt;$Z$8),$Z$8-H12,IF(AND(N12&lt;&gt;"Sex",H12&lt;$Y$8),$Z$8-H12,"")))))))))))))))</f>
        <v/>
      </c>
      <c r="Q12" s="33"/>
      <c r="R12" s="33"/>
      <c r="S12" s="33"/>
    </row>
    <row r="13" spans="1:39" x14ac:dyDescent="0.25">
      <c r="A13" s="115" t="s">
        <v>175</v>
      </c>
      <c r="B13" s="32">
        <v>43810</v>
      </c>
      <c r="C13" s="39">
        <f t="shared" si="0"/>
        <v>0.33333333333333331</v>
      </c>
      <c r="D13" s="33">
        <v>0.33333333333333331</v>
      </c>
      <c r="E13" s="33">
        <v>0.5</v>
      </c>
      <c r="F13" s="39">
        <f t="shared" si="1"/>
        <v>0.54166666666666663</v>
      </c>
      <c r="G13" s="33">
        <v>0.54166666666666663</v>
      </c>
      <c r="H13" s="33">
        <v>0.83333333333333337</v>
      </c>
      <c r="I13" s="39">
        <f>IFERROR(IF(B13=VLOOKUP(B13,Feriados[],2,0),H13,IF(N13="Sáb",H13,IF(AND(B13&lt;$T$1,H13&lt;=$AA$3),$Z$3,IF(AND(N13="Sex",H13&gt;$AA$3),H13,IF(H13&lt;=$AA$3,$Z$3,IF(H13&lt;=$AA$8,$Z$8,H13)))))),IF(N13="Sáb",H13,IF(AND(B13&lt;$T$1,H13&lt;=$AA$3),$Z$3,IF(AND(N13="Sex",H13&gt;$AA$3),H13,IF(H13&lt;=$AA$3,$Z$3,IF(H13&lt;=$AA$8,$Z$8,H13))))))</f>
        <v>0.83333333333333337</v>
      </c>
      <c r="J13" s="33">
        <f t="shared" si="2"/>
        <v>0.375</v>
      </c>
      <c r="K13" s="33">
        <f>IFERROR(IF(H13="","",IF(B13=VLOOKUP(B13,Feriados[],2,0),(H13-D13)-(G13-E13),IF(D13&lt;=$Y$4,(I13-D13)-(G13-E13),(I13-C13)-(F13-E13)))),IF(AND(D13&lt;=$Y$4,F13-E13=$AB$1),(I13-D13)-(F13-E13),IF(D13&lt;$Y$4,(I13-D13)-(G13-E13),(I13-C13)-(F13-E13))))</f>
        <v>0.45833333333333337</v>
      </c>
      <c r="L13" s="40">
        <f>IF(B13=_xlfn.XLOOKUP(B13,Feriados[FE Oficial],Feriados[FE Talvez],"",0),"",IF(Q13="Compensado","",IF(AND(N13="Sex",D13&lt;$Y$4),($Z$4-D13)+$AB$1-(F13-E13)+(I13-$Z$3),IF(AND(N13="Sex",I13&gt;$Z$3),($AB$1-(F13-E13))+(I13-$Z$3),IF(AND(N13="Sex",E13&lt;&gt;"",D13&lt;$Y$4),($Z$4-D13)+$AB$1-(F13-E13)+(I13-$Z$3),IF(N13="Sáb",(I13-D13)-(G13-E13)-(S13-R13),IF(AND(B13&lt;$T$1,I13&gt;$Z$3),H13-$Z$3,IF(D13&lt;$Y$4,($Z$4-D13)+($AB$1-(F13-E13))+(I13-$Z$8)+(S13-R13),IF(AND(S13&lt;&gt;"",D13&gt;$Z$4),(S13-R13)-($AB$1-(F13-E13)),IF(AND(S13&lt;&gt;"",D13&lt;$Y$4),(S13-R13)-($AB$1-(F13-E13)+($Z$4-D13)),IF(I13&gt;$Z$8,($AB$1-(F13-E13))+(I13-$Z$8),IF(AND(N13="Sex",(F13-E13)&lt;($AB$1-$W$1)),($AB$1-(F13-E13)),IF(AND(O13&gt;($AB$1-$W$1),D13&gt;$Z$4),"",IF(AND(B13&gt;=$T$1,(F13-E13)&gt;($AB$1-$W$1)),"",IF(AND(D13&gt;=$Y$4,I13=$Z$8,S13=""),($AB$1-(F13-E13)),IF(AND(P13&lt;&gt;"",S13&lt;&gt;""),I13-$Z$8,IF(AND(P13&lt;&gt;"",D13&gt;$Y$4),$AB$1-(F13-E13),"")))))))))))))))))</f>
        <v>8.3333333333333398E-2</v>
      </c>
      <c r="M13" s="107" t="str">
        <f>IFERROR(IF(H13="","",IF(B13=VLOOKUP(B13,Feriados[],2,0),(H13-D13)-(G13-E13),"")),"")</f>
        <v/>
      </c>
      <c r="N13" s="38" t="str">
        <f t="shared" si="3"/>
        <v>Ter</v>
      </c>
      <c r="O13" s="112">
        <f t="shared" si="4"/>
        <v>4.166666666666663E-2</v>
      </c>
      <c r="P13" s="113" t="str">
        <f>IF(B13=_xlfn.XLOOKUP(B13,Feriados[FE Oficial],Feriados[FE Talvez],"",0),"",IF(B13&lt;$T$1,"",IF(Q13="Consulta","",IF(Q13="Compensado","",IF(N13="Sáb","",IF(S13&lt;&gt;"",(S13-R13)-(($AB$1-O13)-(D13-$Z$4)),IF(O13&gt;$AB$1,O13-$AB$1,IF(C13&gt;$Z$4,C13-$Z$4,IF(AND(N13="Sex",G13&lt;&gt;"",H13=""),$Z$3-G13,IF(AND(G13&lt;&gt;"",H13=""),$Z$3-G13,IF(AND(N13="Sex",H13&lt;$Y$3),$Z$3-H13,IF(AND(N13&lt;&gt;"Sex",H13&gt;$AA$8),"",IF(AND(N13="Sex",H13&gt;$Z$8),"",IF(AND(N13&lt;&gt;"Sex",I13&gt;$Z$8),$Z$8-H13,IF(AND(N13&lt;&gt;"Sex",H13&lt;$Y$8),$Z$8-H13,"")))))))))))))))</f>
        <v/>
      </c>
      <c r="Q13" s="106"/>
      <c r="R13" s="106"/>
      <c r="S13" s="106"/>
    </row>
    <row r="14" spans="1:39" ht="15.75" customHeight="1" x14ac:dyDescent="0.25">
      <c r="A14" s="115" t="s">
        <v>182</v>
      </c>
      <c r="B14" s="32">
        <v>43810</v>
      </c>
      <c r="C14" s="39">
        <f t="shared" si="0"/>
        <v>0.33333333333333331</v>
      </c>
      <c r="D14" s="33">
        <v>0.33333333333333331</v>
      </c>
      <c r="E14" s="33">
        <v>0.5</v>
      </c>
      <c r="F14" s="39">
        <f t="shared" si="1"/>
        <v>0.54166666666666663</v>
      </c>
      <c r="G14" s="33">
        <v>0.54166666666666663</v>
      </c>
      <c r="H14" s="33">
        <v>0.83333333333333337</v>
      </c>
      <c r="I14" s="39">
        <f>IFERROR(IF(B14=VLOOKUP(B14,Feriados[],2,0),H14,IF(N14="Sáb",H14,IF(AND(B14&lt;$T$1,H14&lt;=$AA$3),$Z$3,IF(AND(N14="Sex",H14&gt;$AA$3),H14,IF(H14&lt;=$AA$3,$Z$3,IF(H14&lt;=$AA$8,$Z$8,H14)))))),IF(N14="Sáb",H14,IF(AND(B14&lt;$T$1,H14&lt;=$AA$3),$Z$3,IF(AND(N14="Sex",H14&gt;$AA$3),H14,IF(H14&lt;=$AA$3,$Z$3,IF(H14&lt;=$AA$8,$Z$8,H14))))))</f>
        <v>0.83333333333333337</v>
      </c>
      <c r="J14" s="33">
        <f t="shared" si="2"/>
        <v>0.375</v>
      </c>
      <c r="K14" s="33">
        <f>IFERROR(IF(H14="","",IF(B14=VLOOKUP(B14,Feriados[],2,0),(H14-D14)-(G14-E14),IF(D14&lt;=$Y$4,(I14-D14)-(G14-E14),(I14-C14)-(F14-E14)))),IF(AND(D14&lt;=$Y$4,F14-E14=$AB$1),(I14-D14)-(F14-E14),IF(D14&lt;$Y$4,(I14-D14)-(G14-E14),(I14-C14)-(F14-E14))))</f>
        <v>0.45833333333333337</v>
      </c>
      <c r="L14" s="40">
        <f>IF(B14=_xlfn.XLOOKUP(B14,Feriados[FE Oficial],Feriados[FE Talvez],"",0),"",IF(Q14="Compensado","",IF(AND(N14="Sex",D14&lt;$Y$4),($Z$4-D14)+$AB$1-(F14-E14)+(I14-$Z$3),IF(AND(N14="Sex",I14&gt;$Z$3),($AB$1-(F14-E14))+(I14-$Z$3),IF(AND(N14="Sex",E14&lt;&gt;"",D14&lt;$Y$4),($Z$4-D14)+$AB$1-(F14-E14)+(I14-$Z$3),IF(N14="Sáb",(I14-D14)-(G14-E14)-(S14-R14),IF(AND(B14&lt;$T$1,I14&gt;$Z$3),H14-$Z$3,IF(D14&lt;$Y$4,($Z$4-D14)+($AB$1-(F14-E14))+(I14-$Z$8)+(S14-R14),IF(AND(S14&lt;&gt;"",D14&gt;$Z$4),(S14-R14)-($AB$1-(F14-E14)),IF(AND(S14&lt;&gt;"",D14&lt;$Y$4),(S14-R14)-($AB$1-(F14-E14)+($Z$4-D14)),IF(I14&gt;$Z$8,($AB$1-(F14-E14))+(I14-$Z$8),IF(AND(N14="Sex",(F14-E14)&lt;($AB$1-$W$1)),($AB$1-(F14-E14)),IF(AND(O14&gt;($AB$1-$W$1),D14&gt;$Z$4),"",IF(AND(B14&gt;=$T$1,(F14-E14)&gt;($AB$1-$W$1)),"",IF(AND(D14&gt;=$Y$4,I14=$Z$8,S14=""),($AB$1-(F14-E14)),IF(AND(P14&lt;&gt;"",S14&lt;&gt;""),I14-$Z$8,IF(AND(P14&lt;&gt;"",D14&gt;$Y$4),$AB$1-(F14-E14),"")))))))))))))))))</f>
        <v>8.3333333333333398E-2</v>
      </c>
      <c r="M14" s="107" t="str">
        <f>IFERROR(IF(H14="","",IF(B14=VLOOKUP(B14,Feriados[],2,0),(H14-D14)-(G14-E14),"")),"")</f>
        <v/>
      </c>
      <c r="N14" s="38" t="str">
        <f t="shared" si="3"/>
        <v>Ter</v>
      </c>
      <c r="O14" s="112">
        <f t="shared" si="4"/>
        <v>4.166666666666663E-2</v>
      </c>
      <c r="P14" s="113" t="str">
        <f>IF(B14=_xlfn.XLOOKUP(B14,Feriados[FE Oficial],Feriados[FE Talvez],"",0),"",IF(B14&lt;$T$1,"",IF(Q14="Consulta","",IF(Q14="Compensado","",IF(N14="Sáb","",IF(S14&lt;&gt;"",(S14-R14)-(($AB$1-O14)-(D14-$Z$4)),IF(O14&gt;$AB$1,O14-$AB$1,IF(C14&gt;$Z$4,C14-$Z$4,IF(AND(N14="Sex",G14&lt;&gt;"",H14=""),$Z$3-G14,IF(AND(G14&lt;&gt;"",H14=""),$Z$3-G14,IF(AND(N14="Sex",H14&lt;$Y$3),$Z$3-H14,IF(AND(N14&lt;&gt;"Sex",H14&gt;$AA$8),"",IF(AND(N14="Sex",H14&gt;$Z$8),"",IF(AND(N14&lt;&gt;"Sex",I14&gt;$Z$8),$Z$8-H14,IF(AND(N14&lt;&gt;"Sex",H14&lt;$Y$8),$Z$8-H14,"")))))))))))))))</f>
        <v/>
      </c>
      <c r="Q14" s="106"/>
      <c r="R14" s="106"/>
      <c r="S14" s="106"/>
    </row>
    <row r="15" spans="1:39" x14ac:dyDescent="0.25">
      <c r="A15" s="115" t="s">
        <v>197</v>
      </c>
      <c r="B15" s="32">
        <v>43810</v>
      </c>
      <c r="C15" s="39">
        <f t="shared" si="0"/>
        <v>0.33333333333333331</v>
      </c>
      <c r="D15" s="33">
        <v>0.33333333333333331</v>
      </c>
      <c r="E15" s="33">
        <v>0.47916666666666669</v>
      </c>
      <c r="F15" s="39">
        <f t="shared" si="1"/>
        <v>0.52083333333333337</v>
      </c>
      <c r="G15" s="33">
        <v>0.52083333333333337</v>
      </c>
      <c r="H15" s="33">
        <v>0.75</v>
      </c>
      <c r="I15" s="39">
        <f>IFERROR(IF(B15=VLOOKUP(B15,Feriados[],2,0),H15,IF(N15="Sáb",H15,IF(AND(B15&lt;$T$1,H15&lt;=$AA$3),$Z$3,IF(AND(N15="Sex",H15&gt;$AA$3),H15,IF(H15&lt;=$AA$3,$Z$3,IF(H15&lt;=$AA$8,$Z$8,H15)))))),IF(N15="Sáb",H15,IF(AND(B15&lt;$T$1,H15&lt;=$AA$3),$Z$3,IF(AND(N15="Sex",H15&gt;$AA$3),H15,IF(H15&lt;=$AA$3,$Z$3,IF(H15&lt;=$AA$8,$Z$8,H15))))))</f>
        <v>0.75</v>
      </c>
      <c r="J15" s="33">
        <f t="shared" si="2"/>
        <v>0.375</v>
      </c>
      <c r="K15" s="33">
        <f>IFERROR(IF(H15="","",IF(B15=VLOOKUP(B15,Feriados[],2,0),(H15-D15)-(G15-E15),IF(D15&lt;=$Y$4,(I15-D15)-(G15-E15),(I15-C15)-(F15-E15)))),IF(AND(D15&lt;=$Y$4,F15-E15=$AB$1),(I15-D15)-(F15-E15),IF(D15&lt;$Y$4,(I15-D15)-(G15-E15),(I15-C15)-(F15-E15))))</f>
        <v>0.375</v>
      </c>
      <c r="L15" s="114" t="str">
        <f>IF(B15=_xlfn.XLOOKUP(B15,Feriados[FE Oficial],Feriados[FE Talvez],"",0),"",IF(Q15="Compensado","",IF(AND(N15="Sex",D15&lt;$Y$4),($Z$4-D15)+$AB$1-(F15-E15)+(I15-$Z$3),IF(AND(N15="Sex",I15&gt;$Z$3),($AB$1-(F15-E15))+(I15-$Z$3),IF(AND(N15="Sex",E15&lt;&gt;"",D15&lt;$Y$4),($Z$4-D15)+$AB$1-(F15-E15)+(I15-$Z$3),IF(N15="Sáb",(I15-D15)-(G15-E15)-(S15-R15),IF(AND(B15&lt;$T$1,I15&gt;$Z$3),H15-$Z$3,IF(D15&lt;$Y$4,($Z$4-D15)+($AB$1-(F15-E15))+(I15-$Z$8)+(S15-R15),IF(AND(S15&lt;&gt;"",D15&gt;$Z$4),(S15-R15)-($AB$1-(F15-E15)),IF(AND(S15&lt;&gt;"",D15&lt;$Y$4),(S15-R15)-($AB$1-(F15-E15)+($Z$4-D15)),IF(I15&gt;$Z$8,($AB$1-(F15-E15))+(I15-$Z$8),IF(AND(N15="Sex",(F15-E15)&lt;($AB$1-$W$1)),($AB$1-(F15-E15)),IF(AND(O15&gt;($AB$1-$W$1),D15&gt;$Z$4),"",IF(AND(B15&gt;=$T$1,(F15-E15)&gt;($AB$1-$W$1)),"",IF(AND(D15&gt;=$Y$4,I15=$Z$8,S15=""),($AB$1-(F15-E15)),IF(AND(P15&lt;&gt;"",S15&lt;&gt;""),I15-$Z$8,IF(AND(P15&lt;&gt;"",D15&gt;$Y$4),$AB$1-(F15-E15),"")))))))))))))))))</f>
        <v/>
      </c>
      <c r="M15" s="107" t="str">
        <f>IFERROR(IF(H15="","",IF(B15=VLOOKUP(B15,Feriados[],2,0),(H15-D15)-(G15-E15),"")),"")</f>
        <v/>
      </c>
      <c r="N15" s="38" t="str">
        <f t="shared" si="3"/>
        <v>Ter</v>
      </c>
      <c r="O15" s="112">
        <f t="shared" si="4"/>
        <v>4.1666666666666685E-2</v>
      </c>
      <c r="P15" s="113" t="str">
        <f>IF(B15=_xlfn.XLOOKUP(B15,Feriados[FE Oficial],Feriados[FE Talvez],"",0),"",IF(B15&lt;$T$1,"",IF(Q15="Consulta","",IF(Q15="Compensado","",IF(N15="Sáb","",IF(S15&lt;&gt;"",(S15-R15)-(($AB$1-O15)-(D15-$Z$4)),IF(O15&gt;$AB$1,O15-$AB$1,IF(C15&gt;$Z$4,C15-$Z$4,IF(AND(N15="Sex",G15&lt;&gt;"",H15=""),$Z$3-G15,IF(AND(G15&lt;&gt;"",H15=""),$Z$3-G15,IF(AND(N15="Sex",H15&lt;$Y$3),$Z$3-H15,IF(AND(N15&lt;&gt;"Sex",H15&gt;$AA$8),"",IF(AND(N15="Sex",H15&gt;$Z$8),"",IF(AND(N15&lt;&gt;"Sex",I15&gt;$Z$8),$Z$8-H15,IF(AND(N15&lt;&gt;"Sex",H15&lt;$Y$8),$Z$8-H15,"")))))))))))))))</f>
        <v/>
      </c>
      <c r="Q15" s="33"/>
      <c r="R15" s="33"/>
      <c r="S15" s="33"/>
    </row>
    <row r="16" spans="1:39" x14ac:dyDescent="0.25">
      <c r="A16" s="115" t="s">
        <v>194</v>
      </c>
      <c r="B16" s="32">
        <v>43810</v>
      </c>
      <c r="C16" s="39">
        <f t="shared" si="0"/>
        <v>0.33333333333333331</v>
      </c>
      <c r="D16" s="33">
        <v>0.33333333333333331</v>
      </c>
      <c r="E16" s="33">
        <v>0.47916666666666669</v>
      </c>
      <c r="F16" s="39">
        <f t="shared" si="1"/>
        <v>0.52083333333333337</v>
      </c>
      <c r="G16" s="33">
        <v>0.52083333333333337</v>
      </c>
      <c r="H16" s="33">
        <v>0.75</v>
      </c>
      <c r="I16" s="39">
        <f>IFERROR(IF(B16=VLOOKUP(B16,Feriados[],2,0),H16,IF(N16="Sáb",H16,IF(AND(B16&lt;$T$1,H16&lt;=$AA$3),$Z$3,IF(AND(N16="Sex",H16&gt;$AA$3),H16,IF(H16&lt;=$AA$3,$Z$3,IF(H16&lt;=$AA$8,$Z$8,H16)))))),IF(N16="Sáb",H16,IF(AND(B16&lt;$T$1,H16&lt;=$AA$3),$Z$3,IF(AND(N16="Sex",H16&gt;$AA$3),H16,IF(H16&lt;=$AA$3,$Z$3,IF(H16&lt;=$AA$8,$Z$8,H16))))))</f>
        <v>0.75</v>
      </c>
      <c r="J16" s="33">
        <f t="shared" si="2"/>
        <v>0.375</v>
      </c>
      <c r="K16" s="106">
        <f>IFERROR(IF(H16="","",IF(B16=VLOOKUP(B16,Feriados[],2,0),(H16-D16)-(G16-E16),IF(D16&lt;=$Y$4,(I16-D16)-(G16-E16),(I16-C16)-(F16-E16)))),IF(AND(D16&lt;=$Y$4,F16-E16=$AB$1),(I16-D16)-(F16-E16),IF(D16&lt;$Y$4,(I16-D16)-(G16-E16),(I16-C16)-(F16-E16))))</f>
        <v>0.375</v>
      </c>
      <c r="L16" s="40" t="str">
        <f>IF(B16=_xlfn.XLOOKUP(B16,Feriados[FE Oficial],Feriados[FE Talvez],"",0),"",IF(Q16="Compensado","",IF(AND(N16="Sex",D16&lt;$Y$4),($Z$4-D16)+$AB$1-(F16-E16)+(I16-$Z$3),IF(AND(N16="Sex",I16&gt;$Z$3),($AB$1-(F16-E16))+(I16-$Z$3),IF(AND(N16="Sex",E16&lt;&gt;"",D16&lt;$Y$4),($Z$4-D16)+$AB$1-(F16-E16)+(I16-$Z$3),IF(N16="Sáb",(I16-D16)-(G16-E16)-(S16-R16),IF(AND(B16&lt;$T$1,I16&gt;$Z$3),H16-$Z$3,IF(D16&lt;$Y$4,($Z$4-D16)+($AB$1-(F16-E16))+(I16-$Z$8)+(S16-R16),IF(AND(S16&lt;&gt;"",D16&gt;$Z$4),(S16-R16)-($AB$1-(F16-E16)),IF(AND(S16&lt;&gt;"",D16&lt;$Y$4),(S16-R16)-($AB$1-(F16-E16)+($Z$4-D16)),IF(I16&gt;$Z$8,($AB$1-(F16-E16))+(I16-$Z$8),IF(AND(N16="Sex",(F16-E16)&lt;($AB$1-$W$1)),($AB$1-(F16-E16)),IF(AND(O16&gt;($AB$1-$W$1),D16&gt;$Z$4),"",IF(AND(B16&gt;=$T$1,(F16-E16)&gt;($AB$1-$W$1)),"",IF(AND(D16&gt;=$Y$4,I16=$Z$8,S16=""),($AB$1-(F16-E16)),IF(AND(P16&lt;&gt;"",S16&lt;&gt;""),I16-$Z$8,IF(AND(P16&lt;&gt;"",D16&gt;$Y$4),$AB$1-(F16-E16),"")))))))))))))))))</f>
        <v/>
      </c>
      <c r="M16" s="107" t="str">
        <f>IFERROR(IF(H16="","",IF(B16=VLOOKUP(B16,Feriados[],2,0),(H16-D16)-(G16-E16),"")),"")</f>
        <v/>
      </c>
      <c r="N16" s="38" t="str">
        <f t="shared" si="3"/>
        <v>Ter</v>
      </c>
      <c r="O16" s="112">
        <f t="shared" si="4"/>
        <v>4.1666666666666685E-2</v>
      </c>
      <c r="P16" s="113" t="str">
        <f>IF(B16=_xlfn.XLOOKUP(B16,Feriados[FE Oficial],Feriados[FE Talvez],"",0),"",IF(B16&lt;$T$1,"",IF(Q16="Consulta","",IF(Q16="Compensado","",IF(N16="Sáb","",IF(S16&lt;&gt;"",(S16-R16)-(($AB$1-O16)-(D16-$Z$4)),IF(O16&gt;$AB$1,O16-$AB$1,IF(C16&gt;$Z$4,C16-$Z$4,IF(AND(N16="Sex",G16&lt;&gt;"",H16=""),$Z$3-G16,IF(AND(G16&lt;&gt;"",H16=""),$Z$3-G16,IF(AND(N16="Sex",H16&lt;$Y$3),$Z$3-H16,IF(AND(N16&lt;&gt;"Sex",H16&gt;$AA$8),"",IF(AND(N16="Sex",H16&gt;$Z$8),"",IF(AND(N16&lt;&gt;"Sex",I16&gt;$Z$8),$Z$8-H16,IF(AND(N16&lt;&gt;"Sex",H16&lt;$Y$8),$Z$8-H16,"")))))))))))))))</f>
        <v/>
      </c>
      <c r="Q16" s="33"/>
      <c r="R16" s="33"/>
      <c r="S16" s="33"/>
    </row>
    <row r="17" spans="1:19" x14ac:dyDescent="0.25">
      <c r="A17" s="115" t="s">
        <v>189</v>
      </c>
      <c r="B17" s="32">
        <v>43810</v>
      </c>
      <c r="C17" s="39">
        <f t="shared" si="0"/>
        <v>0.33333333333333331</v>
      </c>
      <c r="D17" s="33">
        <v>0.29166666666666669</v>
      </c>
      <c r="E17" s="33">
        <v>0.47916666666666669</v>
      </c>
      <c r="F17" s="39">
        <f t="shared" si="1"/>
        <v>0.52083333333333337</v>
      </c>
      <c r="G17" s="33">
        <v>0.52083333333333337</v>
      </c>
      <c r="H17" s="33">
        <v>0.8125</v>
      </c>
      <c r="I17" s="39">
        <f>IFERROR(IF(B17=VLOOKUP(B17,Feriados[],2,0),H17,IF(N17="Sáb",H17,IF(AND(B17&lt;$T$1,H17&lt;=$AA$3),$Z$3,IF(AND(N17="Sex",H17&gt;$AA$3),H17,IF(H17&lt;=$AA$3,$Z$3,IF(H17&lt;=$AA$8,$Z$8,H17)))))),IF(N17="Sáb",H17,IF(AND(B17&lt;$T$1,H17&lt;=$AA$3),$Z$3,IF(AND(N17="Sex",H17&gt;$AA$3),H17,IF(H17&lt;=$AA$3,$Z$3,IF(H17&lt;=$AA$8,$Z$8,H17))))))</f>
        <v>0.8125</v>
      </c>
      <c r="J17" s="33">
        <f t="shared" si="2"/>
        <v>0.375</v>
      </c>
      <c r="K17" s="106">
        <f>IFERROR(IF(H17="","",IF(B17=VLOOKUP(B17,Feriados[],2,0),(H17-D17)-(G17-E17),IF(D17&lt;=$Y$4,(I17-D17)-(G17-E17),(I17-C17)-(F17-E17)))),IF(AND(D17&lt;=$Y$4,F17-E17=$AB$1),(I17-D17)-(F17-E17),IF(D17&lt;$Y$4,(I17-D17)-(G17-E17),(I17-C17)-(F17-E17))))</f>
        <v>0.47916666666666657</v>
      </c>
      <c r="L17" s="114">
        <f>IF(B17=_xlfn.XLOOKUP(B17,Feriados[FE Oficial],Feriados[FE Talvez],"",0),"",IF(Q17="Compensado","",IF(AND(N17="Sex",D17&lt;$Y$4),($Z$4-D17)+$AB$1-(F17-E17)+(I17-$Z$3),IF(AND(N17="Sex",I17&gt;$Z$3),($AB$1-(F17-E17))+(I17-$Z$3),IF(AND(N17="Sex",E17&lt;&gt;"",D17&lt;$Y$4),($Z$4-D17)+$AB$1-(F17-E17)+(I17-$Z$3),IF(N17="Sáb",(I17-D17)-(G17-E17)-(S17-R17),IF(AND(B17&lt;$T$1,I17&gt;$Z$3),H17-$Z$3,IF(D17&lt;$Y$4,($Z$4-D17)+($AB$1-(F17-E17))+(I17-$Z$8)+(S17-R17),IF(AND(S17&lt;&gt;"",D17&gt;$Z$4),(S17-R17)-($AB$1-(F17-E17)),IF(AND(S17&lt;&gt;"",D17&lt;$Y$4),(S17-R17)-($AB$1-(F17-E17)+($Z$4-D17)),IF(I17&gt;$Z$8,($AB$1-(F17-E17))+(I17-$Z$8),IF(AND(N17="Sex",(F17-E17)&lt;($AB$1-$W$1)),($AB$1-(F17-E17)),IF(AND(O17&gt;($AB$1-$W$1),D17&gt;$Z$4),"",IF(AND(B17&gt;=$T$1,(F17-E17)&gt;($AB$1-$W$1)),"",IF(AND(D17&gt;=$Y$4,I17=$Z$8,S17=""),($AB$1-(F17-E17)),IF(AND(P17&lt;&gt;"",S17&lt;&gt;""),I17-$Z$8,IF(AND(P17&lt;&gt;"",D17&gt;$Y$4),$AB$1-(F17-E17),"")))))))))))))))))</f>
        <v>0.1041666666666666</v>
      </c>
      <c r="M17" s="107" t="str">
        <f>IFERROR(IF(H17="","",IF(B17=VLOOKUP(B17,Feriados[],2,0),(H17-D17)-(G17-E17),"")),"")</f>
        <v/>
      </c>
      <c r="N17" s="38" t="str">
        <f t="shared" si="3"/>
        <v>Ter</v>
      </c>
      <c r="O17" s="112">
        <f t="shared" si="4"/>
        <v>4.1666666666666685E-2</v>
      </c>
      <c r="P17" s="113" t="str">
        <f>IF(B17=_xlfn.XLOOKUP(B17,Feriados[FE Oficial],Feriados[FE Talvez],"",0),"",IF(B17&lt;$T$1,"",IF(Q17="Consulta","",IF(Q17="Compensado","",IF(N17="Sáb","",IF(S17&lt;&gt;"",(S17-R17)-(($AB$1-O17)-(D17-$Z$4)),IF(O17&gt;$AB$1,O17-$AB$1,IF(C17&gt;$Z$4,C17-$Z$4,IF(AND(N17="Sex",G17&lt;&gt;"",H17=""),$Z$3-G17,IF(AND(G17&lt;&gt;"",H17=""),$Z$3-G17,IF(AND(N17="Sex",H17&lt;$Y$3),$Z$3-H17,IF(AND(N17&lt;&gt;"Sex",H17&gt;$AA$8),"",IF(AND(N17="Sex",H17&gt;$Z$8),"",IF(AND(N17&lt;&gt;"Sex",I17&gt;$Z$8),$Z$8-H17,IF(AND(N17&lt;&gt;"Sex",H17&lt;$Y$8),$Z$8-H17,"")))))))))))))))</f>
        <v/>
      </c>
      <c r="Q17" s="33"/>
      <c r="R17" s="33"/>
      <c r="S17" s="33"/>
    </row>
    <row r="18" spans="1:19" x14ac:dyDescent="0.25">
      <c r="A18" s="115" t="s">
        <v>191</v>
      </c>
      <c r="B18" s="32">
        <v>43810</v>
      </c>
      <c r="C18" s="39">
        <f t="shared" si="0"/>
        <v>0.33333333333333331</v>
      </c>
      <c r="D18" s="33">
        <v>0.33333333333333331</v>
      </c>
      <c r="E18" s="33">
        <v>0.47916666666666669</v>
      </c>
      <c r="F18" s="39">
        <f t="shared" si="1"/>
        <v>0.52083333333333337</v>
      </c>
      <c r="G18" s="33">
        <v>0.52083333333333337</v>
      </c>
      <c r="H18" s="33">
        <v>0.75</v>
      </c>
      <c r="I18" s="39">
        <f>IFERROR(IF(B18=VLOOKUP(B18,Feriados[],2,0),H18,IF(N18="Sáb",H18,IF(AND(B18&lt;$T$1,H18&lt;=$AA$3),$Z$3,IF(AND(N18="Sex",H18&gt;$AA$3),H18,IF(H18&lt;=$AA$3,$Z$3,IF(H18&lt;=$AA$8,$Z$8,H18)))))),IF(N18="Sáb",H18,IF(AND(B18&lt;$T$1,H18&lt;=$AA$3),$Z$3,IF(AND(N18="Sex",H18&gt;$AA$3),H18,IF(H18&lt;=$AA$3,$Z$3,IF(H18&lt;=$AA$8,$Z$8,H18))))))</f>
        <v>0.75</v>
      </c>
      <c r="J18" s="33">
        <f t="shared" si="2"/>
        <v>0.375</v>
      </c>
      <c r="K18" s="33">
        <f>IFERROR(IF(H18="","",IF(B18=VLOOKUP(B18,Feriados[],2,0),(H18-D18)-(G18-E18),IF(D18&lt;=$Y$4,(I18-D18)-(G18-E18),(I18-C18)-(F18-E18)))),IF(AND(D18&lt;=$Y$4,F18-E18=$AB$1),(I18-D18)-(F18-E18),IF(D18&lt;$Y$4,(I18-D18)-(G18-E18),(I18-C18)-(F18-E18))))</f>
        <v>0.375</v>
      </c>
      <c r="L18" s="114" t="str">
        <f>IF(B18=_xlfn.XLOOKUP(B18,Feriados[FE Oficial],Feriados[FE Talvez],"",0),"",IF(Q18="Compensado","",IF(AND(N18="Sex",D18&lt;$Y$4),($Z$4-D18)+$AB$1-(F18-E18)+(I18-$Z$3),IF(AND(N18="Sex",I18&gt;$Z$3),($AB$1-(F18-E18))+(I18-$Z$3),IF(AND(N18="Sex",E18&lt;&gt;"",D18&lt;$Y$4),($Z$4-D18)+$AB$1-(F18-E18)+(I18-$Z$3),IF(N18="Sáb",(I18-D18)-(G18-E18)-(S18-R18),IF(AND(B18&lt;$T$1,I18&gt;$Z$3),H18-$Z$3,IF(D18&lt;$Y$4,($Z$4-D18)+($AB$1-(F18-E18))+(I18-$Z$8)+(S18-R18),IF(AND(S18&lt;&gt;"",D18&gt;$Z$4),(S18-R18)-($AB$1-(F18-E18)),IF(AND(S18&lt;&gt;"",D18&lt;$Y$4),(S18-R18)-($AB$1-(F18-E18)+($Z$4-D18)),IF(I18&gt;$Z$8,($AB$1-(F18-E18))+(I18-$Z$8),IF(AND(N18="Sex",(F18-E18)&lt;($AB$1-$W$1)),($AB$1-(F18-E18)),IF(AND(O18&gt;($AB$1-$W$1),D18&gt;$Z$4),"",IF(AND(B18&gt;=$T$1,(F18-E18)&gt;($AB$1-$W$1)),"",IF(AND(D18&gt;=$Y$4,I18=$Z$8,S18=""),($AB$1-(F18-E18)),IF(AND(P18&lt;&gt;"",S18&lt;&gt;""),I18-$Z$8,IF(AND(P18&lt;&gt;"",D18&gt;$Y$4),$AB$1-(F18-E18),"")))))))))))))))))</f>
        <v/>
      </c>
      <c r="M18" s="107" t="str">
        <f>IFERROR(IF(H18="","",IF(B18=VLOOKUP(B18,Feriados[],2,0),(H18-D18)-(G18-E18),"")),"")</f>
        <v/>
      </c>
      <c r="N18" s="38" t="str">
        <f t="shared" si="3"/>
        <v>Ter</v>
      </c>
      <c r="O18" s="112">
        <f t="shared" si="4"/>
        <v>4.1666666666666685E-2</v>
      </c>
      <c r="P18" s="113" t="str">
        <f>IF(B18=_xlfn.XLOOKUP(B18,Feriados[FE Oficial],Feriados[FE Talvez],"",0),"",IF(B18&lt;$T$1,"",IF(Q18="Consulta","",IF(Q18="Compensado","",IF(N18="Sáb","",IF(S18&lt;&gt;"",(S18-R18)-(($AB$1-O18)-(D18-$Z$4)),IF(O18&gt;$AB$1,O18-$AB$1,IF(C18&gt;$Z$4,C18-$Z$4,IF(AND(N18="Sex",G18&lt;&gt;"",H18=""),$Z$3-G18,IF(AND(G18&lt;&gt;"",H18=""),$Z$3-G18,IF(AND(N18="Sex",H18&lt;$Y$3),$Z$3-H18,IF(AND(N18&lt;&gt;"Sex",H18&gt;$AA$8),"",IF(AND(N18="Sex",H18&gt;$Z$8),"",IF(AND(N18&lt;&gt;"Sex",I18&gt;$Z$8),$Z$8-H18,IF(AND(N18&lt;&gt;"Sex",H18&lt;$Y$8),$Z$8-H18,"")))))))))))))))</f>
        <v/>
      </c>
      <c r="Q18" s="33"/>
      <c r="R18" s="33"/>
      <c r="S18" s="33"/>
    </row>
    <row r="19" spans="1:19" x14ac:dyDescent="0.25">
      <c r="A19" s="116" t="s">
        <v>196</v>
      </c>
      <c r="B19" s="32">
        <v>43810</v>
      </c>
      <c r="C19" s="39">
        <f t="shared" si="0"/>
        <v>0.33333333333333331</v>
      </c>
      <c r="D19" s="33">
        <v>0.33333333333333331</v>
      </c>
      <c r="E19" s="33">
        <v>0.47916666666666669</v>
      </c>
      <c r="F19" s="39">
        <f t="shared" si="1"/>
        <v>0.52083333333333337</v>
      </c>
      <c r="G19" s="33">
        <v>0.52083333333333337</v>
      </c>
      <c r="H19" s="33">
        <v>0.83333333333333337</v>
      </c>
      <c r="I19" s="39">
        <f>IFERROR(IF(B19=VLOOKUP(B19,Feriados[],2,0),H19,IF(N19="Sáb",H19,IF(AND(B19&lt;$T$1,H19&lt;=$AA$3),$Z$3,IF(AND(N19="Sex",H19&gt;$AA$3),H19,IF(H19&lt;=$AA$3,$Z$3,IF(H19&lt;=$AA$8,$Z$8,H19)))))),IF(N19="Sáb",H19,IF(AND(B19&lt;$T$1,H19&lt;=$AA$3),$Z$3,IF(AND(N19="Sex",H19&gt;$AA$3),H19,IF(H19&lt;=$AA$3,$Z$3,IF(H19&lt;=$AA$8,$Z$8,H19))))))</f>
        <v>0.83333333333333337</v>
      </c>
      <c r="J19" s="33">
        <f t="shared" si="2"/>
        <v>0.375</v>
      </c>
      <c r="K19" s="33">
        <f>IFERROR(IF(H19="","",IF(B19=VLOOKUP(B19,Feriados[],2,0),(H19-D19)-(G19-E19),IF(D19&lt;=$Y$4,(I19-D19)-(G19-E19),(I19-C19)-(F19-E19)))),IF(AND(D19&lt;=$Y$4,F19-E19=$AB$1),(I19-D19)-(F19-E19),IF(D19&lt;$Y$4,(I19-D19)-(G19-E19),(I19-C19)-(F19-E19))))</f>
        <v>0.45833333333333331</v>
      </c>
      <c r="L19" s="40">
        <f>IF(B19=_xlfn.XLOOKUP(B19,Feriados[FE Oficial],Feriados[FE Talvez],"",0),"",IF(Q19="Compensado","",IF(AND(N19="Sex",D19&lt;$Y$4),($Z$4-D19)+$AB$1-(F19-E19)+(I19-$Z$3),IF(AND(N19="Sex",I19&gt;$Z$3),($AB$1-(F19-E19))+(I19-$Z$3),IF(AND(N19="Sex",E19&lt;&gt;"",D19&lt;$Y$4),($Z$4-D19)+$AB$1-(F19-E19)+(I19-$Z$3),IF(N19="Sáb",(I19-D19)-(G19-E19)-(S19-R19),IF(AND(B19&lt;$T$1,I19&gt;$Z$3),H19-$Z$3,IF(D19&lt;$Y$4,($Z$4-D19)+($AB$1-(F19-E19))+(I19-$Z$8)+(S19-R19),IF(AND(S19&lt;&gt;"",D19&gt;$Z$4),(S19-R19)-($AB$1-(F19-E19)),IF(AND(S19&lt;&gt;"",D19&lt;$Y$4),(S19-R19)-($AB$1-(F19-E19)+($Z$4-D19)),IF(I19&gt;$Z$8,($AB$1-(F19-E19))+(I19-$Z$8),IF(AND(N19="Sex",(F19-E19)&lt;($AB$1-$W$1)),($AB$1-(F19-E19)),IF(AND(O19&gt;($AB$1-$W$1),D19&gt;$Z$4),"",IF(AND(B19&gt;=$T$1,(F19-E19)&gt;($AB$1-$W$1)),"",IF(AND(D19&gt;=$Y$4,I19=$Z$8,S19=""),($AB$1-(F19-E19)),IF(AND(P19&lt;&gt;"",S19&lt;&gt;""),I19-$Z$8,IF(AND(P19&lt;&gt;"",D19&gt;$Y$4),$AB$1-(F19-E19),"")))))))))))))))))</f>
        <v>8.3333333333333343E-2</v>
      </c>
      <c r="M19" s="107" t="str">
        <f>IFERROR(IF(H19="","",IF(B19=VLOOKUP(B19,Feriados[],2,0),(H19-D19)-(G19-E19),"")),"")</f>
        <v/>
      </c>
      <c r="N19" s="38" t="str">
        <f t="shared" si="3"/>
        <v>Ter</v>
      </c>
      <c r="O19" s="112">
        <f t="shared" si="4"/>
        <v>4.1666666666666685E-2</v>
      </c>
      <c r="P19" s="113" t="str">
        <f>IF(B19=_xlfn.XLOOKUP(B19,Feriados[FE Oficial],Feriados[FE Talvez],"",0),"",IF(B19&lt;$T$1,"",IF(Q19="Consulta","",IF(Q19="Compensado","",IF(N19="Sáb","",IF(S19&lt;&gt;"",(S19-R19)-(($AB$1-O19)-(D19-$Z$4)),IF(O19&gt;$AB$1,O19-$AB$1,IF(C19&gt;$Z$4,C19-$Z$4,IF(AND(N19="Sex",G19&lt;&gt;"",H19=""),$Z$3-G19,IF(AND(G19&lt;&gt;"",H19=""),$Z$3-G19,IF(AND(N19="Sex",H19&lt;$Y$3),$Z$3-H19,IF(AND(N19&lt;&gt;"Sex",H19&gt;$AA$8),"",IF(AND(N19="Sex",H19&gt;$Z$8),"",IF(AND(N19&lt;&gt;"Sex",I19&gt;$Z$8),$Z$8-H19,IF(AND(N19&lt;&gt;"Sex",H19&lt;$Y$8),$Z$8-H19,"")))))))))))))))</f>
        <v/>
      </c>
      <c r="Q19" s="33"/>
      <c r="R19" s="33"/>
      <c r="S19" s="33"/>
    </row>
    <row r="20" spans="1:19" x14ac:dyDescent="0.25">
      <c r="A20" s="115" t="s">
        <v>195</v>
      </c>
      <c r="B20" s="32">
        <v>43810</v>
      </c>
      <c r="C20" s="39">
        <f t="shared" si="0"/>
        <v>0.33333333333333331</v>
      </c>
      <c r="D20" s="33">
        <v>0.33333333333333331</v>
      </c>
      <c r="E20" s="33">
        <v>0.47916666666666669</v>
      </c>
      <c r="F20" s="39">
        <f t="shared" si="1"/>
        <v>0.52083333333333337</v>
      </c>
      <c r="G20" s="33">
        <v>0.52083333333333337</v>
      </c>
      <c r="H20" s="33">
        <v>0.75</v>
      </c>
      <c r="I20" s="39">
        <f>IFERROR(IF(B20=VLOOKUP(B20,Feriados[],2,0),H20,IF(N20="Sáb",H20,IF(AND(B20&lt;$T$1,H20&lt;=$AA$3),$Z$3,IF(AND(N20="Sex",H20&gt;$AA$3),H20,IF(H20&lt;=$AA$3,$Z$3,IF(H20&lt;=$AA$8,$Z$8,H20)))))),IF(N20="Sáb",H20,IF(AND(B20&lt;$T$1,H20&lt;=$AA$3),$Z$3,IF(AND(N20="Sex",H20&gt;$AA$3),H20,IF(H20&lt;=$AA$3,$Z$3,IF(H20&lt;=$AA$8,$Z$8,H20))))))</f>
        <v>0.75</v>
      </c>
      <c r="J20" s="33">
        <f t="shared" si="2"/>
        <v>0.375</v>
      </c>
      <c r="K20" s="33">
        <f>IFERROR(IF(H20="","",IF(B20=VLOOKUP(B20,Feriados[],2,0),(H20-D20)-(G20-E20),IF(D20&lt;=$Y$4,(I20-D20)-(G20-E20),(I20-C20)-(F20-E20)))),IF(AND(D20&lt;=$Y$4,F20-E20=$AB$1),(I20-D20)-(F20-E20),IF(D20&lt;$Y$4,(I20-D20)-(G20-E20),(I20-C20)-(F20-E20))))</f>
        <v>0.375</v>
      </c>
      <c r="L20" s="40" t="str">
        <f>IF(B20=_xlfn.XLOOKUP(B20,Feriados[FE Oficial],Feriados[FE Talvez],"",0),"",IF(Q20="Compensado","",IF(AND(N20="Sex",D20&lt;$Y$4),($Z$4-D20)+$AB$1-(F20-E20)+(I20-$Z$3),IF(AND(N20="Sex",I20&gt;$Z$3),($AB$1-(F20-E20))+(I20-$Z$3),IF(AND(N20="Sex",E20&lt;&gt;"",D20&lt;$Y$4),($Z$4-D20)+$AB$1-(F20-E20)+(I20-$Z$3),IF(N20="Sáb",(I20-D20)-(G20-E20)-(S20-R20),IF(AND(B20&lt;$T$1,I20&gt;$Z$3),H20-$Z$3,IF(D20&lt;$Y$4,($Z$4-D20)+($AB$1-(F20-E20))+(I20-$Z$8)+(S20-R20),IF(AND(S20&lt;&gt;"",D20&gt;$Z$4),(S20-R20)-($AB$1-(F20-E20)),IF(AND(S20&lt;&gt;"",D20&lt;$Y$4),(S20-R20)-($AB$1-(F20-E20)+($Z$4-D20)),IF(I20&gt;$Z$8,($AB$1-(F20-E20))+(I20-$Z$8),IF(AND(N20="Sex",(F20-E20)&lt;($AB$1-$W$1)),($AB$1-(F20-E20)),IF(AND(O20&gt;($AB$1-$W$1),D20&gt;$Z$4),"",IF(AND(B20&gt;=$T$1,(F20-E20)&gt;($AB$1-$W$1)),"",IF(AND(D20&gt;=$Y$4,I20=$Z$8,S20=""),($AB$1-(F20-E20)),IF(AND(P20&lt;&gt;"",S20&lt;&gt;""),I20-$Z$8,IF(AND(P20&lt;&gt;"",D20&gt;$Y$4),$AB$1-(F20-E20),"")))))))))))))))))</f>
        <v/>
      </c>
      <c r="M20" s="107" t="str">
        <f>IFERROR(IF(H20="","",IF(B20=VLOOKUP(B20,Feriados[],2,0),(H20-D20)-(G20-E20),"")),"")</f>
        <v/>
      </c>
      <c r="N20" s="38" t="str">
        <f t="shared" si="3"/>
        <v>Ter</v>
      </c>
      <c r="O20" s="112">
        <f t="shared" si="4"/>
        <v>4.1666666666666685E-2</v>
      </c>
      <c r="P20" s="113" t="str">
        <f>IF(B20=_xlfn.XLOOKUP(B20,Feriados[FE Oficial],Feriados[FE Talvez],"",0),"",IF(B20&lt;$T$1,"",IF(Q20="Consulta","",IF(Q20="Compensado","",IF(N20="Sáb","",IF(S20&lt;&gt;"",(S20-R20)-(($AB$1-O20)-(D20-$Z$4)),IF(O20&gt;$AB$1,O20-$AB$1,IF(C20&gt;$Z$4,C20-$Z$4,IF(AND(N20="Sex",G20&lt;&gt;"",H20=""),$Z$3-G20,IF(AND(G20&lt;&gt;"",H20=""),$Z$3-G20,IF(AND(N20="Sex",H20&lt;$Y$3),$Z$3-H20,IF(AND(N20&lt;&gt;"Sex",H20&gt;$AA$8),"",IF(AND(N20="Sex",H20&gt;$Z$8),"",IF(AND(N20&lt;&gt;"Sex",I20&gt;$Z$8),$Z$8-H20,IF(AND(N20&lt;&gt;"Sex",H20&lt;$Y$8),$Z$8-H20,"")))))))))))))))</f>
        <v/>
      </c>
      <c r="Q20" s="33"/>
      <c r="R20" s="33"/>
      <c r="S20" s="33"/>
    </row>
    <row r="21" spans="1:19" x14ac:dyDescent="0.25">
      <c r="A21" s="115" t="s">
        <v>190</v>
      </c>
      <c r="B21" s="32">
        <v>43810</v>
      </c>
      <c r="C21" s="39">
        <f t="shared" si="0"/>
        <v>0.33333333333333331</v>
      </c>
      <c r="D21" s="33">
        <v>0.33333333333333331</v>
      </c>
      <c r="E21" s="33">
        <v>0.47916666666666669</v>
      </c>
      <c r="F21" s="39">
        <f t="shared" si="1"/>
        <v>0.52083333333333337</v>
      </c>
      <c r="G21" s="33">
        <v>0.51736111111111105</v>
      </c>
      <c r="H21" s="33">
        <v>0.83333333333333337</v>
      </c>
      <c r="I21" s="39">
        <f>IFERROR(IF(B21=VLOOKUP(B21,Feriados[],2,0),H21,IF(N21="Sáb",H21,IF(AND(B21&lt;$T$1,H21&lt;=$AA$3),$Z$3,IF(AND(N21="Sex",H21&gt;$AA$3),H21,IF(H21&lt;=$AA$3,$Z$3,IF(H21&lt;=$AA$8,$Z$8,H21)))))),IF(N21="Sáb",H21,IF(AND(B21&lt;$T$1,H21&lt;=$AA$3),$Z$3,IF(AND(N21="Sex",H21&gt;$AA$3),H21,IF(H21&lt;=$AA$3,$Z$3,IF(H21&lt;=$AA$8,$Z$8,H21))))))</f>
        <v>0.83333333333333337</v>
      </c>
      <c r="J21" s="33">
        <f t="shared" si="2"/>
        <v>0.375</v>
      </c>
      <c r="K21" s="33">
        <f>IFERROR(IF(H21="","",IF(B21=VLOOKUP(B21,Feriados[],2,0),(H21-D21)-(G21-E21),IF(D21&lt;=$Y$4,(I21-D21)-(G21-E21),(I21-C21)-(F21-E21)))),IF(AND(D21&lt;=$Y$4,F21-E21=$AB$1),(I21-D21)-(F21-E21),IF(D21&lt;$Y$4,(I21-D21)-(G21-E21),(I21-C21)-(F21-E21))))</f>
        <v>0.45833333333333331</v>
      </c>
      <c r="L21" s="40">
        <f>IF(B21=_xlfn.XLOOKUP(B21,Feriados[FE Oficial],Feriados[FE Talvez],"",0),"",IF(Q21="Compensado","",IF(AND(N21="Sex",D21&lt;$Y$4),($Z$4-D21)+$AB$1-(F21-E21)+(I21-$Z$3),IF(AND(N21="Sex",I21&gt;$Z$3),($AB$1-(F21-E21))+(I21-$Z$3),IF(AND(N21="Sex",E21&lt;&gt;"",D21&lt;$Y$4),($Z$4-D21)+$AB$1-(F21-E21)+(I21-$Z$3),IF(N21="Sáb",(I21-D21)-(G21-E21)-(S21-R21),IF(AND(B21&lt;$T$1,I21&gt;$Z$3),H21-$Z$3,IF(D21&lt;$Y$4,($Z$4-D21)+($AB$1-(F21-E21))+(I21-$Z$8)+(S21-R21),IF(AND(S21&lt;&gt;"",D21&gt;$Z$4),(S21-R21)-($AB$1-(F21-E21)),IF(AND(S21&lt;&gt;"",D21&lt;$Y$4),(S21-R21)-($AB$1-(F21-E21)+($Z$4-D21)),IF(I21&gt;$Z$8,($AB$1-(F21-E21))+(I21-$Z$8),IF(AND(N21="Sex",(F21-E21)&lt;($AB$1-$W$1)),($AB$1-(F21-E21)),IF(AND(O21&gt;($AB$1-$W$1),D21&gt;$Z$4),"",IF(AND(B21&gt;=$T$1,(F21-E21)&gt;($AB$1-$W$1)),"",IF(AND(D21&gt;=$Y$4,I21=$Z$8,S21=""),($AB$1-(F21-E21)),IF(AND(P21&lt;&gt;"",S21&lt;&gt;""),I21-$Z$8,IF(AND(P21&lt;&gt;"",D21&gt;$Y$4),$AB$1-(F21-E21),"")))))))))))))))))</f>
        <v>8.3333333333333343E-2</v>
      </c>
      <c r="M21" s="107" t="str">
        <f>IFERROR(IF(H21="","",IF(B21=VLOOKUP(B21,Feriados[],2,0),(H21-D21)-(G21-E21),"")),"")</f>
        <v/>
      </c>
      <c r="N21" s="33" t="str">
        <f t="shared" si="3"/>
        <v>Ter</v>
      </c>
      <c r="O21" s="112">
        <f t="shared" si="4"/>
        <v>3.8194444444444364E-2</v>
      </c>
      <c r="P21" s="113" t="str">
        <f>IF(B21=_xlfn.XLOOKUP(B21,Feriados[FE Oficial],Feriados[FE Talvez],"",0),"",IF(B21&lt;$T$1,"",IF(Q21="Consulta","",IF(Q21="Compensado","",IF(N21="Sáb","",IF(S21&lt;&gt;"",(S21-R21)-(($AB$1-O21)-(D21-$Z$4)),IF(O21&gt;$AB$1,O21-$AB$1,IF(C21&gt;$Z$4,C21-$Z$4,IF(AND(N21="Sex",G21&lt;&gt;"",H21=""),$Z$3-G21,IF(AND(G21&lt;&gt;"",H21=""),$Z$3-G21,IF(AND(N21="Sex",H21&lt;$Y$3),$Z$3-H21,IF(AND(N21&lt;&gt;"Sex",H21&gt;$AA$8),"",IF(AND(N21="Sex",H21&gt;$Z$8),"",IF(AND(N21&lt;&gt;"Sex",I21&gt;$Z$8),$Z$8-H21,IF(AND(N21&lt;&gt;"Sex",H21&lt;$Y$8),$Z$8-H21,"")))))))))))))))</f>
        <v/>
      </c>
      <c r="Q21" s="33"/>
      <c r="R21" s="33"/>
      <c r="S21" s="33"/>
    </row>
    <row r="22" spans="1:19" x14ac:dyDescent="0.25">
      <c r="A22" s="115" t="s">
        <v>175</v>
      </c>
      <c r="B22" s="32">
        <v>43811</v>
      </c>
      <c r="C22" s="39">
        <f t="shared" si="0"/>
        <v>0.33333333333333331</v>
      </c>
      <c r="D22" s="33">
        <v>0.33194444444444443</v>
      </c>
      <c r="E22" s="33">
        <v>0.5</v>
      </c>
      <c r="F22" s="39">
        <f t="shared" si="1"/>
        <v>0.54166666666666663</v>
      </c>
      <c r="G22" s="33">
        <v>0.54166666666666663</v>
      </c>
      <c r="H22" s="33">
        <v>0.83333333333333337</v>
      </c>
      <c r="I22" s="39">
        <f>IFERROR(IF(B22=VLOOKUP(B22,Feriados[],2,0),H22,IF(N22="Sáb",H22,IF(AND(B22&lt;$T$1,H22&lt;=$AA$3),$Z$3,IF(AND(N22="Sex",H22&gt;$AA$3),H22,IF(H22&lt;=$AA$3,$Z$3,IF(H22&lt;=$AA$8,$Z$8,H22)))))),IF(N22="Sáb",H22,IF(AND(B22&lt;$T$1,H22&lt;=$AA$3),$Z$3,IF(AND(N22="Sex",H22&gt;$AA$3),H22,IF(H22&lt;=$AA$3,$Z$3,IF(H22&lt;=$AA$8,$Z$8,H22))))))</f>
        <v>0.83333333333333337</v>
      </c>
      <c r="J22" s="33">
        <f t="shared" si="2"/>
        <v>0.375</v>
      </c>
      <c r="K22" s="33">
        <f>IFERROR(IF(H22="","",IF(B22=VLOOKUP(B22,Feriados[],2,0),(H22-D22)-(G22-E22),IF(D22&lt;=$Y$4,(I22-D22)-(G22-E22),(I22-C22)-(F22-E22)))),IF(AND(D22&lt;=$Y$4,F22-E22=$AB$1),(I22-D22)-(F22-E22),IF(D22&lt;$Y$4,(I22-D22)-(G22-E22),(I22-C22)-(F22-E22))))</f>
        <v>0.45833333333333337</v>
      </c>
      <c r="L22" s="40">
        <f>IF(B22=_xlfn.XLOOKUP(B22,Feriados[FE Oficial],Feriados[FE Talvez],"",0),"",IF(Q22="Compensado","",IF(AND(N22="Sex",D22&lt;$Y$4),($Z$4-D22)+$AB$1-(F22-E22)+(I22-$Z$3),IF(AND(N22="Sex",I22&gt;$Z$3),($AB$1-(F22-E22))+(I22-$Z$3),IF(AND(N22="Sex",E22&lt;&gt;"",D22&lt;$Y$4),($Z$4-D22)+$AB$1-(F22-E22)+(I22-$Z$3),IF(N22="Sáb",(I22-D22)-(G22-E22)-(S22-R22),IF(AND(B22&lt;$T$1,I22&gt;$Z$3),H22-$Z$3,IF(D22&lt;$Y$4,($Z$4-D22)+($AB$1-(F22-E22))+(I22-$Z$8)+(S22-R22),IF(AND(S22&lt;&gt;"",D22&gt;$Z$4),(S22-R22)-($AB$1-(F22-E22)),IF(AND(S22&lt;&gt;"",D22&lt;$Y$4),(S22-R22)-($AB$1-(F22-E22)+($Z$4-D22)),IF(I22&gt;$Z$8,($AB$1-(F22-E22))+(I22-$Z$8),IF(AND(N22="Sex",(F22-E22)&lt;($AB$1-$W$1)),($AB$1-(F22-E22)),IF(AND(O22&gt;($AB$1-$W$1),D22&gt;$Z$4),"",IF(AND(B22&gt;=$T$1,(F22-E22)&gt;($AB$1-$W$1)),"",IF(AND(D22&gt;=$Y$4,I22=$Z$8,S22=""),($AB$1-(F22-E22)),IF(AND(P22&lt;&gt;"",S22&lt;&gt;""),I22-$Z$8,IF(AND(P22&lt;&gt;"",D22&gt;$Y$4),$AB$1-(F22-E22),"")))))))))))))))))</f>
        <v>8.3333333333333398E-2</v>
      </c>
      <c r="M22" s="107" t="str">
        <f>IFERROR(IF(H22="","",IF(B22=VLOOKUP(B22,Feriados[],2,0),(H22-D22)-(G22-E22),"")),"")</f>
        <v/>
      </c>
      <c r="N22" s="38" t="str">
        <f t="shared" si="3"/>
        <v>Qua</v>
      </c>
      <c r="O22" s="112">
        <f t="shared" si="4"/>
        <v>4.166666666666663E-2</v>
      </c>
      <c r="P22" s="113" t="str">
        <f>IF(B22=_xlfn.XLOOKUP(B22,Feriados[FE Oficial],Feriados[FE Talvez],"",0),"",IF(B22&lt;$T$1,"",IF(Q22="Consulta","",IF(Q22="Compensado","",IF(N22="Sáb","",IF(S22&lt;&gt;"",(S22-R22)-(($AB$1-O22)-(D22-$Z$4)),IF(O22&gt;$AB$1,O22-$AB$1,IF(C22&gt;$Z$4,C22-$Z$4,IF(AND(N22="Sex",G22&lt;&gt;"",H22=""),$Z$3-G22,IF(AND(G22&lt;&gt;"",H22=""),$Z$3-G22,IF(AND(N22="Sex",H22&lt;$Y$3),$Z$3-H22,IF(AND(N22&lt;&gt;"Sex",H22&gt;$AA$8),"",IF(AND(N22="Sex",H22&gt;$Z$8),"",IF(AND(N22&lt;&gt;"Sex",I22&gt;$Z$8),$Z$8-H22,IF(AND(N22&lt;&gt;"Sex",H22&lt;$Y$8),$Z$8-H22,"")))))))))))))))</f>
        <v/>
      </c>
      <c r="Q22" s="106"/>
      <c r="R22" s="106"/>
      <c r="S22" s="106"/>
    </row>
    <row r="23" spans="1:19" x14ac:dyDescent="0.25">
      <c r="A23" s="115" t="s">
        <v>182</v>
      </c>
      <c r="B23" s="32">
        <v>43811</v>
      </c>
      <c r="C23" s="39">
        <f t="shared" si="0"/>
        <v>0.33333333333333331</v>
      </c>
      <c r="D23" s="33">
        <v>0.33194444444444443</v>
      </c>
      <c r="E23" s="33">
        <v>0.5</v>
      </c>
      <c r="F23" s="39">
        <f t="shared" si="1"/>
        <v>0.54166666666666663</v>
      </c>
      <c r="G23" s="33">
        <v>0.54305555555555551</v>
      </c>
      <c r="H23" s="33">
        <v>0.74861111111111101</v>
      </c>
      <c r="I23" s="39">
        <f>IFERROR(IF(B23=VLOOKUP(B23,Feriados[],2,0),H23,IF(N23="Sáb",H23,IF(AND(B23&lt;$T$1,H23&lt;=$AA$3),$Z$3,IF(AND(N23="Sex",H23&gt;$AA$3),H23,IF(H23&lt;=$AA$3,$Z$3,IF(H23&lt;=$AA$8,$Z$8,H23)))))),IF(N23="Sáb",H23,IF(AND(B23&lt;$T$1,H23&lt;=$AA$3),$Z$3,IF(AND(N23="Sex",H23&gt;$AA$3),H23,IF(H23&lt;=$AA$3,$Z$3,IF(H23&lt;=$AA$8,$Z$8,H23))))))</f>
        <v>0.75</v>
      </c>
      <c r="J23" s="33">
        <f t="shared" si="2"/>
        <v>0.37361111111111106</v>
      </c>
      <c r="K23" s="33">
        <f>IFERROR(IF(H23="","",IF(B23=VLOOKUP(B23,Feriados[],2,0),(H23-D23)-(G23-E23),IF(D23&lt;=$Y$4,(I23-D23)-(G23-E23),(I23-C23)-(F23-E23)))),IF(AND(D23&lt;=$Y$4,F23-E23=$AB$1),(I23-D23)-(F23-E23),IF(D23&lt;$Y$4,(I23-D23)-(G23-E23),(I23-C23)-(F23-E23))))</f>
        <v>0.37500000000000006</v>
      </c>
      <c r="L23" s="40" t="str">
        <f>IF(B23=_xlfn.XLOOKUP(B23,Feriados[FE Oficial],Feriados[FE Talvez],"",0),"",IF(Q23="Compensado","",IF(AND(N23="Sex",D23&lt;$Y$4),($Z$4-D23)+$AB$1-(F23-E23)+(I23-$Z$3),IF(AND(N23="Sex",I23&gt;$Z$3),($AB$1-(F23-E23))+(I23-$Z$3),IF(AND(N23="Sex",E23&lt;&gt;"",D23&lt;$Y$4),($Z$4-D23)+$AB$1-(F23-E23)+(I23-$Z$3),IF(N23="Sáb",(I23-D23)-(G23-E23)-(S23-R23),IF(AND(B23&lt;$T$1,I23&gt;$Z$3),H23-$Z$3,IF(D23&lt;$Y$4,($Z$4-D23)+($AB$1-(F23-E23))+(I23-$Z$8)+(S23-R23),IF(AND(S23&lt;&gt;"",D23&gt;$Z$4),(S23-R23)-($AB$1-(F23-E23)),IF(AND(S23&lt;&gt;"",D23&lt;$Y$4),(S23-R23)-($AB$1-(F23-E23)+($Z$4-D23)),IF(I23&gt;$Z$8,($AB$1-(F23-E23))+(I23-$Z$8),IF(AND(N23="Sex",(F23-E23)&lt;($AB$1-$W$1)),($AB$1-(F23-E23)),IF(AND(O23&gt;($AB$1-$W$1),D23&gt;$Z$4),"",IF(AND(B23&gt;=$T$1,(F23-E23)&gt;($AB$1-$W$1)),"",IF(AND(D23&gt;=$Y$4,I23=$Z$8,S23=""),($AB$1-(F23-E23)),IF(AND(P23&lt;&gt;"",S23&lt;&gt;""),I23-$Z$8,IF(AND(P23&lt;&gt;"",D23&gt;$Y$4),$AB$1-(F23-E23),"")))))))))))))))))</f>
        <v/>
      </c>
      <c r="M23" s="107" t="str">
        <f>IFERROR(IF(H23="","",IF(B23=VLOOKUP(B23,Feriados[],2,0),(H23-D23)-(G23-E23),"")),"")</f>
        <v/>
      </c>
      <c r="N23" s="38" t="str">
        <f t="shared" si="3"/>
        <v>Qua</v>
      </c>
      <c r="O23" s="112">
        <f t="shared" si="4"/>
        <v>4.3055555555555514E-2</v>
      </c>
      <c r="P23" s="113">
        <f>IF(B23=_xlfn.XLOOKUP(B23,Feriados[FE Oficial],Feriados[FE Talvez],"",0),"",IF(B23&lt;$T$1,"",IF(Q23="Consulta","",IF(Q23="Compensado","",IF(N23="Sáb","",IF(S23&lt;&gt;"",(S23-R23)-(($AB$1-O23)-(D23-$Z$4)),IF(O23&gt;$AB$1,O23-$AB$1,IF(C23&gt;$Z$4,C23-$Z$4,IF(AND(N23="Sex",G23&lt;&gt;"",H23=""),$Z$3-G23,IF(AND(G23&lt;&gt;"",H23=""),$Z$3-G23,IF(AND(N23="Sex",H23&lt;$Y$3),$Z$3-H23,IF(AND(N23&lt;&gt;"Sex",H23&gt;$AA$8),"",IF(AND(N23="Sex",H23&gt;$Z$8),"",IF(AND(N23&lt;&gt;"Sex",I23&gt;$Z$8),$Z$8-H23,IF(AND(N23&lt;&gt;"Sex",H23&lt;$Y$8),$Z$8-H23,"")))))))))))))))</f>
        <v>1.3888888888888493E-3</v>
      </c>
      <c r="Q23" s="106"/>
      <c r="R23" s="106"/>
      <c r="S23" s="106"/>
    </row>
    <row r="24" spans="1:19" x14ac:dyDescent="0.25">
      <c r="A24" s="115" t="s">
        <v>190</v>
      </c>
      <c r="B24" s="32">
        <v>43811</v>
      </c>
      <c r="C24" s="39">
        <f t="shared" si="0"/>
        <v>0.33333333333333331</v>
      </c>
      <c r="D24" s="33">
        <v>0.33333333333333331</v>
      </c>
      <c r="E24" s="33">
        <v>0.47916666666666669</v>
      </c>
      <c r="F24" s="39">
        <f t="shared" si="1"/>
        <v>0.52083333333333337</v>
      </c>
      <c r="G24" s="33">
        <v>0.52083333333333337</v>
      </c>
      <c r="H24" s="33">
        <v>0.8125</v>
      </c>
      <c r="I24" s="39">
        <f>IFERROR(IF(B24=VLOOKUP(B24,Feriados[],2,0),H24,IF(N24="Sáb",H24,IF(AND(B24&lt;$T$1,H24&lt;=$AA$3),$Z$3,IF(AND(N24="Sex",H24&gt;$AA$3),H24,IF(H24&lt;=$AA$3,$Z$3,IF(H24&lt;=$AA$8,$Z$8,H24)))))),IF(N24="Sáb",H24,IF(AND(B24&lt;$T$1,H24&lt;=$AA$3),$Z$3,IF(AND(N24="Sex",H24&gt;$AA$3),H24,IF(H24&lt;=$AA$3,$Z$3,IF(H24&lt;=$AA$8,$Z$8,H24))))))</f>
        <v>0.8125</v>
      </c>
      <c r="J24" s="33">
        <f t="shared" si="2"/>
        <v>0.375</v>
      </c>
      <c r="K24" s="33">
        <f>IFERROR(IF(H24="","",IF(B24=VLOOKUP(B24,Feriados[],2,0),(H24-D24)-(G24-E24),IF(D24&lt;=$Y$4,(I24-D24)-(G24-E24),(I24-C24)-(F24-E24)))),IF(AND(D24&lt;=$Y$4,F24-E24=$AB$1),(I24-D24)-(F24-E24),IF(D24&lt;$Y$4,(I24-D24)-(G24-E24),(I24-C24)-(F24-E24))))</f>
        <v>0.4375</v>
      </c>
      <c r="L24" s="40">
        <f>IF(B24=_xlfn.XLOOKUP(B24,Feriados[FE Oficial],Feriados[FE Talvez],"",0),"",IF(Q24="Compensado","",IF(AND(N24="Sex",D24&lt;$Y$4),($Z$4-D24)+$AB$1-(F24-E24)+(I24-$Z$3),IF(AND(N24="Sex",I24&gt;$Z$3),($AB$1-(F24-E24))+(I24-$Z$3),IF(AND(N24="Sex",E24&lt;&gt;"",D24&lt;$Y$4),($Z$4-D24)+$AB$1-(F24-E24)+(I24-$Z$3),IF(N24="Sáb",(I24-D24)-(G24-E24)-(S24-R24),IF(AND(B24&lt;$T$1,I24&gt;$Z$3),H24-$Z$3,IF(D24&lt;$Y$4,($Z$4-D24)+($AB$1-(F24-E24))+(I24-$Z$8)+(S24-R24),IF(AND(S24&lt;&gt;"",D24&gt;$Z$4),(S24-R24)-($AB$1-(F24-E24)),IF(AND(S24&lt;&gt;"",D24&lt;$Y$4),(S24-R24)-($AB$1-(F24-E24)+($Z$4-D24)),IF(I24&gt;$Z$8,($AB$1-(F24-E24))+(I24-$Z$8),IF(AND(N24="Sex",(F24-E24)&lt;($AB$1-$W$1)),($AB$1-(F24-E24)),IF(AND(O24&gt;($AB$1-$W$1),D24&gt;$Z$4),"",IF(AND(B24&gt;=$T$1,(F24-E24)&gt;($AB$1-$W$1)),"",IF(AND(D24&gt;=$Y$4,I24=$Z$8,S24=""),($AB$1-(F24-E24)),IF(AND(P24&lt;&gt;"",S24&lt;&gt;""),I24-$Z$8,IF(AND(P24&lt;&gt;"",D24&gt;$Y$4),$AB$1-(F24-E24),"")))))))))))))))))</f>
        <v>6.2499999999999979E-2</v>
      </c>
      <c r="M24" s="107" t="str">
        <f>IFERROR(IF(H24="","",IF(B24=VLOOKUP(B24,Feriados[],2,0),(H24-D24)-(G24-E24),"")),"")</f>
        <v/>
      </c>
      <c r="N24" s="38" t="str">
        <f t="shared" si="3"/>
        <v>Qua</v>
      </c>
      <c r="O24" s="112">
        <f t="shared" si="4"/>
        <v>4.1666666666666685E-2</v>
      </c>
      <c r="P24" s="113" t="str">
        <f>IF(B24=_xlfn.XLOOKUP(B24,Feriados[FE Oficial],Feriados[FE Talvez],"",0),"",IF(B24&lt;$T$1,"",IF(Q24="Consulta","",IF(Q24="Compensado","",IF(N24="Sáb","",IF(S24&lt;&gt;"",(S24-R24)-(($AB$1-O24)-(D24-$Z$4)),IF(O24&gt;$AB$1,O24-$AB$1,IF(C24&gt;$Z$4,C24-$Z$4,IF(AND(N24="Sex",G24&lt;&gt;"",H24=""),$Z$3-G24,IF(AND(G24&lt;&gt;"",H24=""),$Z$3-G24,IF(AND(N24="Sex",H24&lt;$Y$3),$Z$3-H24,IF(AND(N24&lt;&gt;"Sex",H24&gt;$AA$8),"",IF(AND(N24="Sex",H24&gt;$Z$8),"",IF(AND(N24&lt;&gt;"Sex",I24&gt;$Z$8),$Z$8-H24,IF(AND(N24&lt;&gt;"Sex",H24&lt;$Y$8),$Z$8-H24,"")))))))))))))))</f>
        <v/>
      </c>
      <c r="Q24" s="106"/>
      <c r="R24" s="106"/>
      <c r="S24" s="106"/>
    </row>
    <row r="25" spans="1:19" x14ac:dyDescent="0.25">
      <c r="A25" s="115" t="s">
        <v>194</v>
      </c>
      <c r="B25" s="32">
        <v>43811</v>
      </c>
      <c r="C25" s="39">
        <f t="shared" si="0"/>
        <v>0.33333333333333331</v>
      </c>
      <c r="D25" s="33">
        <v>0.29166666666666669</v>
      </c>
      <c r="E25" s="33">
        <v>0.51111111111111118</v>
      </c>
      <c r="F25" s="39">
        <f t="shared" si="1"/>
        <v>0.55277777777777781</v>
      </c>
      <c r="G25" s="33">
        <v>0.55277777777777781</v>
      </c>
      <c r="H25" s="33">
        <v>0.83263888888888893</v>
      </c>
      <c r="I25" s="39">
        <f>IFERROR(IF(B25=VLOOKUP(B25,Feriados[],2,0),H25,IF(N25="Sáb",H25,IF(AND(B25&lt;$T$1,H25&lt;=$AA$3),$Z$3,IF(AND(N25="Sex",H25&gt;$AA$3),H25,IF(H25&lt;=$AA$3,$Z$3,IF(H25&lt;=$AA$8,$Z$8,H25)))))),IF(N25="Sáb",H25,IF(AND(B25&lt;$T$1,H25&lt;=$AA$3),$Z$3,IF(AND(N25="Sex",H25&gt;$AA$3),H25,IF(H25&lt;=$AA$3,$Z$3,IF(H25&lt;=$AA$8,$Z$8,H25))))))</f>
        <v>0.83263888888888893</v>
      </c>
      <c r="J25" s="33">
        <f t="shared" si="2"/>
        <v>0.375</v>
      </c>
      <c r="K25" s="33">
        <f>IFERROR(IF(H25="","",IF(B25=VLOOKUP(B25,Feriados[],2,0),(H25-D25)-(G25-E25),IF(D25&lt;=$Y$4,(I25-D25)-(G25-E25),(I25-C25)-(F25-E25)))),IF(AND(D25&lt;=$Y$4,F25-E25=$AB$1),(I25-D25)-(F25-E25),IF(D25&lt;$Y$4,(I25-D25)-(G25-E25),(I25-C25)-(F25-E25))))</f>
        <v>0.49930555555555556</v>
      </c>
      <c r="L25" s="40">
        <f>IF(B25=_xlfn.XLOOKUP(B25,Feriados[FE Oficial],Feriados[FE Talvez],"",0),"",IF(Q25="Compensado","",IF(AND(N25="Sex",D25&lt;$Y$4),($Z$4-D25)+$AB$1-(F25-E25)+(I25-$Z$3),IF(AND(N25="Sex",I25&gt;$Z$3),($AB$1-(F25-E25))+(I25-$Z$3),IF(AND(N25="Sex",E25&lt;&gt;"",D25&lt;$Y$4),($Z$4-D25)+$AB$1-(F25-E25)+(I25-$Z$3),IF(N25="Sáb",(I25-D25)-(G25-E25)-(S25-R25),IF(AND(B25&lt;$T$1,I25&gt;$Z$3),H25-$Z$3,IF(D25&lt;$Y$4,($Z$4-D25)+($AB$1-(F25-E25))+(I25-$Z$8)+(S25-R25),IF(AND(S25&lt;&gt;"",D25&gt;$Z$4),(S25-R25)-($AB$1-(F25-E25)),IF(AND(S25&lt;&gt;"",D25&lt;$Y$4),(S25-R25)-($AB$1-(F25-E25)+($Z$4-D25)),IF(I25&gt;$Z$8,($AB$1-(F25-E25))+(I25-$Z$8),IF(AND(N25="Sex",(F25-E25)&lt;($AB$1-$W$1)),($AB$1-(F25-E25)),IF(AND(O25&gt;($AB$1-$W$1),D25&gt;$Z$4),"",IF(AND(B25&gt;=$T$1,(F25-E25)&gt;($AB$1-$W$1)),"",IF(AND(D25&gt;=$Y$4,I25=$Z$8,S25=""),($AB$1-(F25-E25)),IF(AND(P25&lt;&gt;"",S25&lt;&gt;""),I25-$Z$8,IF(AND(P25&lt;&gt;"",D25&gt;$Y$4),$AB$1-(F25-E25),"")))))))))))))))))</f>
        <v>0.12430555555555559</v>
      </c>
      <c r="M25" s="107" t="str">
        <f>IFERROR(IF(H25="","",IF(B25=VLOOKUP(B25,Feriados[],2,0),(H25-D25)-(G25-E25),"")),"")</f>
        <v/>
      </c>
      <c r="N25" s="38" t="str">
        <f t="shared" si="3"/>
        <v>Qua</v>
      </c>
      <c r="O25" s="112">
        <f t="shared" si="4"/>
        <v>4.166666666666663E-2</v>
      </c>
      <c r="P25" s="113" t="str">
        <f>IF(B25=_xlfn.XLOOKUP(B25,Feriados[FE Oficial],Feriados[FE Talvez],"",0),"",IF(B25&lt;$T$1,"",IF(Q25="Consulta","",IF(Q25="Compensado","",IF(N25="Sáb","",IF(S25&lt;&gt;"",(S25-R25)-(($AB$1-O25)-(D25-$Z$4)),IF(O25&gt;$AB$1,O25-$AB$1,IF(C25&gt;$Z$4,C25-$Z$4,IF(AND(N25="Sex",G25&lt;&gt;"",H25=""),$Z$3-G25,IF(AND(G25&lt;&gt;"",H25=""),$Z$3-G25,IF(AND(N25="Sex",H25&lt;$Y$3),$Z$3-H25,IF(AND(N25&lt;&gt;"Sex",H25&gt;$AA$8),"",IF(AND(N25="Sex",H25&gt;$Z$8),"",IF(AND(N25&lt;&gt;"Sex",I25&gt;$Z$8),$Z$8-H25,IF(AND(N25&lt;&gt;"Sex",H25&lt;$Y$8),$Z$8-H25,"")))))))))))))))</f>
        <v/>
      </c>
      <c r="Q25" s="33"/>
      <c r="R25" s="33"/>
      <c r="S25" s="33"/>
    </row>
    <row r="26" spans="1:19" x14ac:dyDescent="0.25">
      <c r="A26" s="115" t="s">
        <v>189</v>
      </c>
      <c r="B26" s="32">
        <v>43811</v>
      </c>
      <c r="C26" s="39">
        <f t="shared" si="0"/>
        <v>0.33333333333333331</v>
      </c>
      <c r="D26" s="33">
        <v>0.33333333333333331</v>
      </c>
      <c r="E26" s="33">
        <v>0.47916666666666669</v>
      </c>
      <c r="F26" s="39">
        <f t="shared" si="1"/>
        <v>0.52083333333333337</v>
      </c>
      <c r="G26" s="33">
        <v>0.52083333333333337</v>
      </c>
      <c r="H26" s="33">
        <v>0.74861111111111101</v>
      </c>
      <c r="I26" s="39">
        <f>IFERROR(IF(B26=VLOOKUP(B26,Feriados[],2,0),H26,IF(N26="Sáb",H26,IF(AND(B26&lt;$T$1,H26&lt;=$AA$3),$Z$3,IF(AND(N26="Sex",H26&gt;$AA$3),H26,IF(H26&lt;=$AA$3,$Z$3,IF(H26&lt;=$AA$8,$Z$8,H26)))))),IF(N26="Sáb",H26,IF(AND(B26&lt;$T$1,H26&lt;=$AA$3),$Z$3,IF(AND(N26="Sex",H26&gt;$AA$3),H26,IF(H26&lt;=$AA$3,$Z$3,IF(H26&lt;=$AA$8,$Z$8,H26))))))</f>
        <v>0.75</v>
      </c>
      <c r="J26" s="33">
        <f t="shared" si="2"/>
        <v>0.37361111111111101</v>
      </c>
      <c r="K26" s="33">
        <f>IFERROR(IF(H26="","",IF(B26=VLOOKUP(B26,Feriados[],2,0),(H26-D26)-(G26-E26),IF(D26&lt;=$Y$4,(I26-D26)-(G26-E26),(I26-C26)-(F26-E26)))),IF(AND(D26&lt;=$Y$4,F26-E26=$AB$1),(I26-D26)-(F26-E26),IF(D26&lt;$Y$4,(I26-D26)-(G26-E26),(I26-C26)-(F26-E26))))</f>
        <v>0.375</v>
      </c>
      <c r="L26" s="40" t="str">
        <f>IF(B26=_xlfn.XLOOKUP(B26,Feriados[FE Oficial],Feriados[FE Talvez],"",0),"",IF(Q26="Compensado","",IF(AND(N26="Sex",D26&lt;$Y$4),($Z$4-D26)+$AB$1-(F26-E26)+(I26-$Z$3),IF(AND(N26="Sex",I26&gt;$Z$3),($AB$1-(F26-E26))+(I26-$Z$3),IF(AND(N26="Sex",E26&lt;&gt;"",D26&lt;$Y$4),($Z$4-D26)+$AB$1-(F26-E26)+(I26-$Z$3),IF(N26="Sáb",(I26-D26)-(G26-E26)-(S26-R26),IF(AND(B26&lt;$T$1,I26&gt;$Z$3),H26-$Z$3,IF(D26&lt;$Y$4,($Z$4-D26)+($AB$1-(F26-E26))+(I26-$Z$8)+(S26-R26),IF(AND(S26&lt;&gt;"",D26&gt;$Z$4),(S26-R26)-($AB$1-(F26-E26)),IF(AND(S26&lt;&gt;"",D26&lt;$Y$4),(S26-R26)-($AB$1-(F26-E26)+($Z$4-D26)),IF(I26&gt;$Z$8,($AB$1-(F26-E26))+(I26-$Z$8),IF(AND(N26="Sex",(F26-E26)&lt;($AB$1-$W$1)),($AB$1-(F26-E26)),IF(AND(O26&gt;($AB$1-$W$1),D26&gt;$Z$4),"",IF(AND(B26&gt;=$T$1,(F26-E26)&gt;($AB$1-$W$1)),"",IF(AND(D26&gt;=$Y$4,I26=$Z$8,S26=""),($AB$1-(F26-E26)),IF(AND(P26&lt;&gt;"",S26&lt;&gt;""),I26-$Z$8,IF(AND(P26&lt;&gt;"",D26&gt;$Y$4),$AB$1-(F26-E26),"")))))))))))))))))</f>
        <v/>
      </c>
      <c r="M26" s="107" t="str">
        <f>IFERROR(IF(H26="","",IF(B26=VLOOKUP(B26,Feriados[],2,0),(H26-D26)-(G26-E26),"")),"")</f>
        <v/>
      </c>
      <c r="N26" s="38" t="str">
        <f t="shared" si="3"/>
        <v>Qua</v>
      </c>
      <c r="O26" s="112">
        <f t="shared" si="4"/>
        <v>4.1666666666666685E-2</v>
      </c>
      <c r="P26" s="113" t="str">
        <f>IF(B26=_xlfn.XLOOKUP(B26,Feriados[FE Oficial],Feriados[FE Talvez],"",0),"",IF(B26&lt;$T$1,"",IF(Q26="Consulta","",IF(Q26="Compensado","",IF(N26="Sáb","",IF(S26&lt;&gt;"",(S26-R26)-(($AB$1-O26)-(D26-$Z$4)),IF(O26&gt;$AB$1,O26-$AB$1,IF(C26&gt;$Z$4,C26-$Z$4,IF(AND(N26="Sex",G26&lt;&gt;"",H26=""),$Z$3-G26,IF(AND(G26&lt;&gt;"",H26=""),$Z$3-G26,IF(AND(N26="Sex",H26&lt;$Y$3),$Z$3-H26,IF(AND(N26&lt;&gt;"Sex",H26&gt;$AA$8),"",IF(AND(N26="Sex",H26&gt;$Z$8),"",IF(AND(N26&lt;&gt;"Sex",I26&gt;$Z$8),$Z$8-H26,IF(AND(N26&lt;&gt;"Sex",H26&lt;$Y$8),$Z$8-H26,"")))))))))))))))</f>
        <v/>
      </c>
      <c r="Q26" s="33"/>
      <c r="R26" s="33"/>
      <c r="S26" s="33"/>
    </row>
    <row r="27" spans="1:19" x14ac:dyDescent="0.25">
      <c r="A27" s="115" t="s">
        <v>197</v>
      </c>
      <c r="B27" s="32">
        <v>43811</v>
      </c>
      <c r="C27" s="39">
        <f t="shared" si="0"/>
        <v>0.33333333333333331</v>
      </c>
      <c r="D27" s="33">
        <v>0.33333333333333331</v>
      </c>
      <c r="E27" s="33">
        <v>0.47916666666666669</v>
      </c>
      <c r="F27" s="39">
        <f t="shared" si="1"/>
        <v>0.52083333333333337</v>
      </c>
      <c r="G27" s="33">
        <v>0.52083333333333337</v>
      </c>
      <c r="H27" s="33">
        <v>0.75</v>
      </c>
      <c r="I27" s="39">
        <f>IFERROR(IF(B27=VLOOKUP(B27,Feriados[],2,0),H27,IF(N27="Sáb",H27,IF(AND(B27&lt;$T$1,H27&lt;=$AA$3),$Z$3,IF(AND(N27="Sex",H27&gt;$AA$3),H27,IF(H27&lt;=$AA$3,$Z$3,IF(H27&lt;=$AA$8,$Z$8,H27)))))),IF(N27="Sáb",H27,IF(AND(B27&lt;$T$1,H27&lt;=$AA$3),$Z$3,IF(AND(N27="Sex",H27&gt;$AA$3),H27,IF(H27&lt;=$AA$3,$Z$3,IF(H27&lt;=$AA$8,$Z$8,H27))))))</f>
        <v>0.75</v>
      </c>
      <c r="J27" s="33">
        <f t="shared" si="2"/>
        <v>0.375</v>
      </c>
      <c r="K27" s="33">
        <f>IFERROR(IF(H27="","",IF(B27=VLOOKUP(B27,Feriados[],2,0),(H27-D27)-(G27-E27),IF(D27&lt;=$Y$4,(I27-D27)-(G27-E27),(I27-C27)-(F27-E27)))),IF(AND(D27&lt;=$Y$4,F27-E27=$AB$1),(I27-D27)-(F27-E27),IF(D27&lt;$Y$4,(I27-D27)-(G27-E27),(I27-C27)-(F27-E27))))</f>
        <v>0.375</v>
      </c>
      <c r="L27" s="40" t="str">
        <f>IF(B27=_xlfn.XLOOKUP(B27,Feriados[FE Oficial],Feriados[FE Talvez],"",0),"",IF(Q27="Compensado","",IF(AND(N27="Sex",D27&lt;$Y$4),($Z$4-D27)+$AB$1-(F27-E27)+(I27-$Z$3),IF(AND(N27="Sex",I27&gt;$Z$3),($AB$1-(F27-E27))+(I27-$Z$3),IF(AND(N27="Sex",E27&lt;&gt;"",D27&lt;$Y$4),($Z$4-D27)+$AB$1-(F27-E27)+(I27-$Z$3),IF(N27="Sáb",(I27-D27)-(G27-E27)-(S27-R27),IF(AND(B27&lt;$T$1,I27&gt;$Z$3),H27-$Z$3,IF(D27&lt;$Y$4,($Z$4-D27)+($AB$1-(F27-E27))+(I27-$Z$8)+(S27-R27),IF(AND(S27&lt;&gt;"",D27&gt;$Z$4),(S27-R27)-($AB$1-(F27-E27)),IF(AND(S27&lt;&gt;"",D27&lt;$Y$4),(S27-R27)-($AB$1-(F27-E27)+($Z$4-D27)),IF(I27&gt;$Z$8,($AB$1-(F27-E27))+(I27-$Z$8),IF(AND(N27="Sex",(F27-E27)&lt;($AB$1-$W$1)),($AB$1-(F27-E27)),IF(AND(O27&gt;($AB$1-$W$1),D27&gt;$Z$4),"",IF(AND(B27&gt;=$T$1,(F27-E27)&gt;($AB$1-$W$1)),"",IF(AND(D27&gt;=$Y$4,I27=$Z$8,S27=""),($AB$1-(F27-E27)),IF(AND(P27&lt;&gt;"",S27&lt;&gt;""),I27-$Z$8,IF(AND(P27&lt;&gt;"",D27&gt;$Y$4),$AB$1-(F27-E27),"")))))))))))))))))</f>
        <v/>
      </c>
      <c r="M27" s="107" t="str">
        <f>IFERROR(IF(H27="","",IF(B27=VLOOKUP(B27,Feriados[],2,0),(H27-D27)-(G27-E27),"")),"")</f>
        <v/>
      </c>
      <c r="N27" s="38" t="str">
        <f t="shared" si="3"/>
        <v>Qua</v>
      </c>
      <c r="O27" s="112">
        <f t="shared" si="4"/>
        <v>4.1666666666666685E-2</v>
      </c>
      <c r="P27" s="113" t="str">
        <f>IF(B27=_xlfn.XLOOKUP(B27,Feriados[FE Oficial],Feriados[FE Talvez],"",0),"",IF(B27&lt;$T$1,"",IF(Q27="Consulta","",IF(Q27="Compensado","",IF(N27="Sáb","",IF(S27&lt;&gt;"",(S27-R27)-(($AB$1-O27)-(D27-$Z$4)),IF(O27&gt;$AB$1,O27-$AB$1,IF(C27&gt;$Z$4,C27-$Z$4,IF(AND(N27="Sex",G27&lt;&gt;"",H27=""),$Z$3-G27,IF(AND(G27&lt;&gt;"",H27=""),$Z$3-G27,IF(AND(N27="Sex",H27&lt;$Y$3),$Z$3-H27,IF(AND(N27&lt;&gt;"Sex",H27&gt;$AA$8),"",IF(AND(N27="Sex",H27&gt;$Z$8),"",IF(AND(N27&lt;&gt;"Sex",I27&gt;$Z$8),$Z$8-H27,IF(AND(N27&lt;&gt;"Sex",H27&lt;$Y$8),$Z$8-H27,"")))))))))))))))</f>
        <v/>
      </c>
      <c r="Q27" s="33"/>
      <c r="R27" s="33"/>
      <c r="S27" s="33"/>
    </row>
    <row r="28" spans="1:19" x14ac:dyDescent="0.25">
      <c r="A28" s="116" t="s">
        <v>191</v>
      </c>
      <c r="B28" s="32">
        <v>43811</v>
      </c>
      <c r="C28" s="39">
        <f t="shared" si="0"/>
        <v>0.33333333333333331</v>
      </c>
      <c r="D28" s="33">
        <v>0.33333333333333331</v>
      </c>
      <c r="E28" s="33">
        <v>0.47916666666666669</v>
      </c>
      <c r="F28" s="39">
        <f t="shared" si="1"/>
        <v>0.52083333333333337</v>
      </c>
      <c r="G28" s="33">
        <v>0.52083333333333337</v>
      </c>
      <c r="H28" s="33">
        <v>0.74861111111111101</v>
      </c>
      <c r="I28" s="39">
        <f>IFERROR(IF(B28=VLOOKUP(B28,Feriados[],2,0),H28,IF(N28="Sáb",H28,IF(AND(B28&lt;$T$1,H28&lt;=$AA$3),$Z$3,IF(AND(N28="Sex",H28&gt;$AA$3),H28,IF(H28&lt;=$AA$3,$Z$3,IF(H28&lt;=$AA$8,$Z$8,H28)))))),IF(N28="Sáb",H28,IF(AND(B28&lt;$T$1,H28&lt;=$AA$3),$Z$3,IF(AND(N28="Sex",H28&gt;$AA$3),H28,IF(H28&lt;=$AA$3,$Z$3,IF(H28&lt;=$AA$8,$Z$8,H28))))))</f>
        <v>0.75</v>
      </c>
      <c r="J28" s="33">
        <f t="shared" si="2"/>
        <v>0.37361111111111101</v>
      </c>
      <c r="K28" s="33">
        <f>IFERROR(IF(H28="","",IF(B28=VLOOKUP(B28,Feriados[],2,0),(H28-D28)-(G28-E28),IF(D28&lt;=$Y$4,(I28-D28)-(G28-E28),(I28-C28)-(F28-E28)))),IF(AND(D28&lt;=$Y$4,F28-E28=$AB$1),(I28-D28)-(F28-E28),IF(D28&lt;$Y$4,(I28-D28)-(G28-E28),(I28-C28)-(F28-E28))))</f>
        <v>0.375</v>
      </c>
      <c r="L28" s="40" t="str">
        <f>IF(B28=_xlfn.XLOOKUP(B28,Feriados[FE Oficial],Feriados[FE Talvez],"",0),"",IF(Q28="Compensado","",IF(AND(N28="Sex",D28&lt;$Y$4),($Z$4-D28)+$AB$1-(F28-E28)+(I28-$Z$3),IF(AND(N28="Sex",I28&gt;$Z$3),($AB$1-(F28-E28))+(I28-$Z$3),IF(AND(N28="Sex",E28&lt;&gt;"",D28&lt;$Y$4),($Z$4-D28)+$AB$1-(F28-E28)+(I28-$Z$3),IF(N28="Sáb",(I28-D28)-(G28-E28)-(S28-R28),IF(AND(B28&lt;$T$1,I28&gt;$Z$3),H28-$Z$3,IF(D28&lt;$Y$4,($Z$4-D28)+($AB$1-(F28-E28))+(I28-$Z$8)+(S28-R28),IF(AND(S28&lt;&gt;"",D28&gt;$Z$4),(S28-R28)-($AB$1-(F28-E28)),IF(AND(S28&lt;&gt;"",D28&lt;$Y$4),(S28-R28)-($AB$1-(F28-E28)+($Z$4-D28)),IF(I28&gt;$Z$8,($AB$1-(F28-E28))+(I28-$Z$8),IF(AND(N28="Sex",(F28-E28)&lt;($AB$1-$W$1)),($AB$1-(F28-E28)),IF(AND(O28&gt;($AB$1-$W$1),D28&gt;$Z$4),"",IF(AND(B28&gt;=$T$1,(F28-E28)&gt;($AB$1-$W$1)),"",IF(AND(D28&gt;=$Y$4,I28=$Z$8,S28=""),($AB$1-(F28-E28)),IF(AND(P28&lt;&gt;"",S28&lt;&gt;""),I28-$Z$8,IF(AND(P28&lt;&gt;"",D28&gt;$Y$4),$AB$1-(F28-E28),"")))))))))))))))))</f>
        <v/>
      </c>
      <c r="M28" s="107" t="str">
        <f>IFERROR(IF(H28="","",IF(B28=VLOOKUP(B28,Feriados[],2,0),(H28-D28)-(G28-E28),"")),"")</f>
        <v/>
      </c>
      <c r="N28" s="38" t="str">
        <f t="shared" si="3"/>
        <v>Qua</v>
      </c>
      <c r="O28" s="112">
        <f t="shared" si="4"/>
        <v>4.1666666666666685E-2</v>
      </c>
      <c r="P28" s="113" t="str">
        <f>IF(B28=_xlfn.XLOOKUP(B28,Feriados[FE Oficial],Feriados[FE Talvez],"",0),"",IF(B28&lt;$T$1,"",IF(Q28="Consulta","",IF(Q28="Compensado","",IF(N28="Sáb","",IF(S28&lt;&gt;"",(S28-R28)-(($AB$1-O28)-(D28-$Z$4)),IF(O28&gt;$AB$1,O28-$AB$1,IF(C28&gt;$Z$4,C28-$Z$4,IF(AND(N28="Sex",G28&lt;&gt;"",H28=""),$Z$3-G28,IF(AND(G28&lt;&gt;"",H28=""),$Z$3-G28,IF(AND(N28="Sex",H28&lt;$Y$3),$Z$3-H28,IF(AND(N28&lt;&gt;"Sex",H28&gt;$AA$8),"",IF(AND(N28="Sex",H28&gt;$Z$8),"",IF(AND(N28&lt;&gt;"Sex",I28&gt;$Z$8),$Z$8-H28,IF(AND(N28&lt;&gt;"Sex",H28&lt;$Y$8),$Z$8-H28,"")))))))))))))))</f>
        <v/>
      </c>
      <c r="Q28" s="33"/>
      <c r="R28" s="33"/>
      <c r="S28" s="33"/>
    </row>
    <row r="29" spans="1:19" x14ac:dyDescent="0.25">
      <c r="A29" s="115" t="s">
        <v>195</v>
      </c>
      <c r="B29" s="32">
        <v>43811</v>
      </c>
      <c r="C29" s="39">
        <f t="shared" si="0"/>
        <v>0.33333333333333331</v>
      </c>
      <c r="D29" s="33">
        <v>0.33333333333333331</v>
      </c>
      <c r="E29" s="33">
        <v>0.47916666666666669</v>
      </c>
      <c r="F29" s="39">
        <f t="shared" si="1"/>
        <v>0.52083333333333337</v>
      </c>
      <c r="G29" s="33">
        <v>0.52083333333333337</v>
      </c>
      <c r="H29" s="33">
        <v>0.75</v>
      </c>
      <c r="I29" s="39">
        <f>IFERROR(IF(B29=VLOOKUP(B29,Feriados[],2,0),H29,IF(N29="Sáb",H29,IF(AND(B29&lt;$T$1,H29&lt;=$AA$3),$Z$3,IF(AND(N29="Sex",H29&gt;$AA$3),H29,IF(H29&lt;=$AA$3,$Z$3,IF(H29&lt;=$AA$8,$Z$8,H29)))))),IF(N29="Sáb",H29,IF(AND(B29&lt;$T$1,H29&lt;=$AA$3),$Z$3,IF(AND(N29="Sex",H29&gt;$AA$3),H29,IF(H29&lt;=$AA$3,$Z$3,IF(H29&lt;=$AA$8,$Z$8,H29))))))</f>
        <v>0.75</v>
      </c>
      <c r="J29" s="33">
        <f t="shared" si="2"/>
        <v>0.375</v>
      </c>
      <c r="K29" s="33">
        <f>IFERROR(IF(H29="","",IF(B29=VLOOKUP(B29,Feriados[],2,0),(H29-D29)-(G29-E29),IF(D29&lt;=$Y$4,(I29-D29)-(G29-E29),(I29-C29)-(F29-E29)))),IF(AND(D29&lt;=$Y$4,F29-E29=$AB$1),(I29-D29)-(F29-E29),IF(D29&lt;$Y$4,(I29-D29)-(G29-E29),(I29-C29)-(F29-E29))))</f>
        <v>0.375</v>
      </c>
      <c r="L29" s="40" t="str">
        <f>IF(B29=_xlfn.XLOOKUP(B29,Feriados[FE Oficial],Feriados[FE Talvez],"",0),"",IF(Q29="Compensado","",IF(AND(N29="Sex",D29&lt;$Y$4),($Z$4-D29)+$AB$1-(F29-E29)+(I29-$Z$3),IF(AND(N29="Sex",I29&gt;$Z$3),($AB$1-(F29-E29))+(I29-$Z$3),IF(AND(N29="Sex",E29&lt;&gt;"",D29&lt;$Y$4),($Z$4-D29)+$AB$1-(F29-E29)+(I29-$Z$3),IF(N29="Sáb",(I29-D29)-(G29-E29)-(S29-R29),IF(AND(B29&lt;$T$1,I29&gt;$Z$3),H29-$Z$3,IF(D29&lt;$Y$4,($Z$4-D29)+($AB$1-(F29-E29))+(I29-$Z$8)+(S29-R29),IF(AND(S29&lt;&gt;"",D29&gt;$Z$4),(S29-R29)-($AB$1-(F29-E29)),IF(AND(S29&lt;&gt;"",D29&lt;$Y$4),(S29-R29)-($AB$1-(F29-E29)+($Z$4-D29)),IF(I29&gt;$Z$8,($AB$1-(F29-E29))+(I29-$Z$8),IF(AND(N29="Sex",(F29-E29)&lt;($AB$1-$W$1)),($AB$1-(F29-E29)),IF(AND(O29&gt;($AB$1-$W$1),D29&gt;$Z$4),"",IF(AND(B29&gt;=$T$1,(F29-E29)&gt;($AB$1-$W$1)),"",IF(AND(D29&gt;=$Y$4,I29=$Z$8,S29=""),($AB$1-(F29-E29)),IF(AND(P29&lt;&gt;"",S29&lt;&gt;""),I29-$Z$8,IF(AND(P29&lt;&gt;"",D29&gt;$Y$4),$AB$1-(F29-E29),"")))))))))))))))))</f>
        <v/>
      </c>
      <c r="M29" s="107" t="str">
        <f>IFERROR(IF(H29="","",IF(B29=VLOOKUP(B29,Feriados[],2,0),(H29-D29)-(G29-E29),"")),"")</f>
        <v/>
      </c>
      <c r="N29" s="38" t="str">
        <f t="shared" si="3"/>
        <v>Qua</v>
      </c>
      <c r="O29" s="112">
        <f t="shared" si="4"/>
        <v>4.1666666666666685E-2</v>
      </c>
      <c r="P29" s="113" t="str">
        <f>IF(B29=_xlfn.XLOOKUP(B29,Feriados[FE Oficial],Feriados[FE Talvez],"",0),"",IF(B29&lt;$T$1,"",IF(Q29="Consulta","",IF(Q29="Compensado","",IF(N29="Sáb","",IF(S29&lt;&gt;"",(S29-R29)-(($AB$1-O29)-(D29-$Z$4)),IF(O29&gt;$AB$1,O29-$AB$1,IF(C29&gt;$Z$4,C29-$Z$4,IF(AND(N29="Sex",G29&lt;&gt;"",H29=""),$Z$3-G29,IF(AND(G29&lt;&gt;"",H29=""),$Z$3-G29,IF(AND(N29="Sex",H29&lt;$Y$3),$Z$3-H29,IF(AND(N29&lt;&gt;"Sex",H29&gt;$AA$8),"",IF(AND(N29="Sex",H29&gt;$Z$8),"",IF(AND(N29&lt;&gt;"Sex",I29&gt;$Z$8),$Z$8-H29,IF(AND(N29&lt;&gt;"Sex",H29&lt;$Y$8),$Z$8-H29,"")))))))))))))))</f>
        <v/>
      </c>
      <c r="Q29" s="33"/>
      <c r="R29" s="33"/>
      <c r="S29" s="33"/>
    </row>
    <row r="30" spans="1:19" x14ac:dyDescent="0.25">
      <c r="A30" s="115" t="s">
        <v>196</v>
      </c>
      <c r="B30" s="32">
        <v>43811</v>
      </c>
      <c r="C30" s="39">
        <f t="shared" si="0"/>
        <v>0.33333333333333331</v>
      </c>
      <c r="D30" s="33">
        <v>0.33333333333333331</v>
      </c>
      <c r="E30" s="33">
        <v>0.49652777777777773</v>
      </c>
      <c r="F30" s="39">
        <f t="shared" si="1"/>
        <v>0.53819444444444442</v>
      </c>
      <c r="G30" s="33">
        <v>0.54166666666666663</v>
      </c>
      <c r="H30" s="33">
        <v>0.75</v>
      </c>
      <c r="I30" s="39">
        <f>IFERROR(IF(B30=VLOOKUP(B30,Feriados[],2,0),H30,IF(N30="Sáb",H30,IF(AND(B30&lt;$T$1,H30&lt;=$AA$3),$Z$3,IF(AND(N30="Sex",H30&gt;$AA$3),H30,IF(H30&lt;=$AA$3,$Z$3,IF(H30&lt;=$AA$8,$Z$8,H30)))))),IF(N30="Sáb",H30,IF(AND(B30&lt;$T$1,H30&lt;=$AA$3),$Z$3,IF(AND(N30="Sex",H30&gt;$AA$3),H30,IF(H30&lt;=$AA$3,$Z$3,IF(H30&lt;=$AA$8,$Z$8,H30))))))</f>
        <v>0.75</v>
      </c>
      <c r="J30" s="33">
        <f t="shared" si="2"/>
        <v>0.37152777777777779</v>
      </c>
      <c r="K30" s="33">
        <f>IFERROR(IF(H30="","",IF(B30=VLOOKUP(B30,Feriados[],2,0),(H30-D30)-(G30-E30),IF(D30&lt;=$Y$4,(I30-D30)-(G30-E30),(I30-C30)-(F30-E30)))),IF(AND(D30&lt;=$Y$4,F30-E30=$AB$1),(I30-D30)-(F30-E30),IF(D30&lt;$Y$4,(I30-D30)-(G30-E30),(I30-C30)-(F30-E30))))</f>
        <v>0.375</v>
      </c>
      <c r="L30" s="40" t="str">
        <f>IF(B30=_xlfn.XLOOKUP(B30,Feriados[FE Oficial],Feriados[FE Talvez],"",0),"",IF(Q30="Compensado","",IF(AND(N30="Sex",D30&lt;$Y$4),($Z$4-D30)+$AB$1-(F30-E30)+(I30-$Z$3),IF(AND(N30="Sex",I30&gt;$Z$3),($AB$1-(F30-E30))+(I30-$Z$3),IF(AND(N30="Sex",E30&lt;&gt;"",D30&lt;$Y$4),($Z$4-D30)+$AB$1-(F30-E30)+(I30-$Z$3),IF(N30="Sáb",(I30-D30)-(G30-E30)-(S30-R30),IF(AND(B30&lt;$T$1,I30&gt;$Z$3),H30-$Z$3,IF(D30&lt;$Y$4,($Z$4-D30)+($AB$1-(F30-E30))+(I30-$Z$8)+(S30-R30),IF(AND(S30&lt;&gt;"",D30&gt;$Z$4),(S30-R30)-($AB$1-(F30-E30)),IF(AND(S30&lt;&gt;"",D30&lt;$Y$4),(S30-R30)-($AB$1-(F30-E30)+($Z$4-D30)),IF(I30&gt;$Z$8,($AB$1-(F30-E30))+(I30-$Z$8),IF(AND(N30="Sex",(F30-E30)&lt;($AB$1-$W$1)),($AB$1-(F30-E30)),IF(AND(O30&gt;($AB$1-$W$1),D30&gt;$Z$4),"",IF(AND(B30&gt;=$T$1,(F30-E30)&gt;($AB$1-$W$1)),"",IF(AND(D30&gt;=$Y$4,I30=$Z$8,S30=""),($AB$1-(F30-E30)),IF(AND(P30&lt;&gt;"",S30&lt;&gt;""),I30-$Z$8,IF(AND(P30&lt;&gt;"",D30&gt;$Y$4),$AB$1-(F30-E30),"")))))))))))))))))</f>
        <v/>
      </c>
      <c r="M30" s="107" t="str">
        <f>IFERROR(IF(H30="","",IF(B30=VLOOKUP(B30,Feriados[],2,0),(H30-D30)-(G30-E30),"")),"")</f>
        <v/>
      </c>
      <c r="N30" s="38" t="str">
        <f t="shared" si="3"/>
        <v>Qua</v>
      </c>
      <c r="O30" s="112">
        <f t="shared" si="4"/>
        <v>4.5138888888888895E-2</v>
      </c>
      <c r="P30" s="113">
        <f>IF(B30=_xlfn.XLOOKUP(B30,Feriados[FE Oficial],Feriados[FE Talvez],"",0),"",IF(B30&lt;$T$1,"",IF(Q30="Consulta","",IF(Q30="Compensado","",IF(N30="Sáb","",IF(S30&lt;&gt;"",(S30-R30)-(($AB$1-O30)-(D30-$Z$4)),IF(O30&gt;$AB$1,O30-$AB$1,IF(C30&gt;$Z$4,C30-$Z$4,IF(AND(N30="Sex",G30&lt;&gt;"",H30=""),$Z$3-G30,IF(AND(G30&lt;&gt;"",H30=""),$Z$3-G30,IF(AND(N30="Sex",H30&lt;$Y$3),$Z$3-H30,IF(AND(N30&lt;&gt;"Sex",H30&gt;$AA$8),"",IF(AND(N30="Sex",H30&gt;$Z$8),"",IF(AND(N30&lt;&gt;"Sex",I30&gt;$Z$8),$Z$8-H30,IF(AND(N30&lt;&gt;"Sex",H30&lt;$Y$8),$Z$8-H30,"")))))))))))))))</f>
        <v>3.4722222222222307E-3</v>
      </c>
      <c r="Q30" s="33"/>
      <c r="R30" s="33"/>
      <c r="S30" s="33"/>
    </row>
    <row r="31" spans="1:19" x14ac:dyDescent="0.25">
      <c r="A31" s="115" t="s">
        <v>175</v>
      </c>
      <c r="B31" s="32">
        <v>43812</v>
      </c>
      <c r="C31" s="39">
        <f t="shared" si="0"/>
        <v>0.33333333333333331</v>
      </c>
      <c r="D31" s="33">
        <v>0.33333333333333331</v>
      </c>
      <c r="E31" s="33">
        <v>0.5</v>
      </c>
      <c r="F31" s="39">
        <f t="shared" si="1"/>
        <v>0.54166666666666663</v>
      </c>
      <c r="G31" s="33">
        <v>0.54166666666666663</v>
      </c>
      <c r="H31" s="33">
        <v>0.82638888888888884</v>
      </c>
      <c r="I31" s="39">
        <f>IFERROR(IF(B31=VLOOKUP(B31,Feriados[],2,0),H31,IF(N31="Sáb",H31,IF(AND(B31&lt;$T$1,H31&lt;=$AA$3),$Z$3,IF(AND(N31="Sex",H31&gt;$AA$3),H31,IF(H31&lt;=$AA$3,$Z$3,IF(H31&lt;=$AA$8,$Z$8,H31)))))),IF(N31="Sáb",H31,IF(AND(B31&lt;$T$1,H31&lt;=$AA$3),$Z$3,IF(AND(N31="Sex",H31&gt;$AA$3),H31,IF(H31&lt;=$AA$3,$Z$3,IF(H31&lt;=$AA$8,$Z$8,H31))))))</f>
        <v>0.82638888888888884</v>
      </c>
      <c r="J31" s="33">
        <f t="shared" si="2"/>
        <v>0.375</v>
      </c>
      <c r="K31" s="33">
        <f>IFERROR(IF(H31="","",IF(B31=VLOOKUP(B31,Feriados[],2,0),(H31-D31)-(G31-E31),IF(D31&lt;=$Y$4,(I31-D31)-(G31-E31),(I31-C31)-(F31-E31)))),IF(AND(D31&lt;=$Y$4,F31-E31=$AB$1),(I31-D31)-(F31-E31),IF(D31&lt;$Y$4,(I31-D31)-(G31-E31),(I31-C31)-(F31-E31))))</f>
        <v>0.4513888888888889</v>
      </c>
      <c r="L31" s="40">
        <f>IF(B31=_xlfn.XLOOKUP(B31,Feriados[FE Oficial],Feriados[FE Talvez],"",0),"",IF(Q31="Compensado","",IF(AND(N31="Sex",D31&lt;$Y$4),($Z$4-D31)+$AB$1-(F31-E31)+(I31-$Z$3),IF(AND(N31="Sex",I31&gt;$Z$3),($AB$1-(F31-E31))+(I31-$Z$3),IF(AND(N31="Sex",E31&lt;&gt;"",D31&lt;$Y$4),($Z$4-D31)+$AB$1-(F31-E31)+(I31-$Z$3),IF(N31="Sáb",(I31-D31)-(G31-E31)-(S31-R31),IF(AND(B31&lt;$T$1,I31&gt;$Z$3),H31-$Z$3,IF(D31&lt;$Y$4,($Z$4-D31)+($AB$1-(F31-E31))+(I31-$Z$8)+(S31-R31),IF(AND(S31&lt;&gt;"",D31&gt;$Z$4),(S31-R31)-($AB$1-(F31-E31)),IF(AND(S31&lt;&gt;"",D31&lt;$Y$4),(S31-R31)-($AB$1-(F31-E31)+($Z$4-D31)),IF(I31&gt;$Z$8,($AB$1-(F31-E31))+(I31-$Z$8),IF(AND(N31="Sex",(F31-E31)&lt;($AB$1-$W$1)),($AB$1-(F31-E31)),IF(AND(O31&gt;($AB$1-$W$1),D31&gt;$Z$4),"",IF(AND(B31&gt;=$T$1,(F31-E31)&gt;($AB$1-$W$1)),"",IF(AND(D31&gt;=$Y$4,I31=$Z$8,S31=""),($AB$1-(F31-E31)),IF(AND(P31&lt;&gt;"",S31&lt;&gt;""),I31-$Z$8,IF(AND(P31&lt;&gt;"",D31&gt;$Y$4),$AB$1-(F31-E31),"")))))))))))))))))</f>
        <v>7.6388888888888867E-2</v>
      </c>
      <c r="M31" s="107" t="str">
        <f>IFERROR(IF(H31="","",IF(B31=VLOOKUP(B31,Feriados[],2,0),(H31-D31)-(G31-E31),"")),"")</f>
        <v/>
      </c>
      <c r="N31" s="38" t="str">
        <f t="shared" si="3"/>
        <v>Qui</v>
      </c>
      <c r="O31" s="112">
        <f t="shared" si="4"/>
        <v>4.166666666666663E-2</v>
      </c>
      <c r="P31" s="113" t="str">
        <f>IF(B31=_xlfn.XLOOKUP(B31,Feriados[FE Oficial],Feriados[FE Talvez],"",0),"",IF(B31&lt;$T$1,"",IF(Q31="Consulta","",IF(Q31="Compensado","",IF(N31="Sáb","",IF(S31&lt;&gt;"",(S31-R31)-(($AB$1-O31)-(D31-$Z$4)),IF(O31&gt;$AB$1,O31-$AB$1,IF(C31&gt;$Z$4,C31-$Z$4,IF(AND(N31="Sex",G31&lt;&gt;"",H31=""),$Z$3-G31,IF(AND(G31&lt;&gt;"",H31=""),$Z$3-G31,IF(AND(N31="Sex",H31&lt;$Y$3),$Z$3-H31,IF(AND(N31&lt;&gt;"Sex",H31&gt;$AA$8),"",IF(AND(N31="Sex",H31&gt;$Z$8),"",IF(AND(N31&lt;&gt;"Sex",I31&gt;$Z$8),$Z$8-H31,IF(AND(N31&lt;&gt;"Sex",H31&lt;$Y$8),$Z$8-H31,"")))))))))))))))</f>
        <v/>
      </c>
      <c r="Q31" s="33"/>
      <c r="R31" s="33"/>
      <c r="S31" s="33"/>
    </row>
    <row r="32" spans="1:19" x14ac:dyDescent="0.25">
      <c r="A32" s="115" t="s">
        <v>182</v>
      </c>
      <c r="B32" s="32">
        <v>43812</v>
      </c>
      <c r="C32" s="39">
        <f t="shared" si="0"/>
        <v>0.33333333333333331</v>
      </c>
      <c r="D32" s="33">
        <v>0.33333333333333331</v>
      </c>
      <c r="E32" s="33">
        <v>0.5</v>
      </c>
      <c r="F32" s="39">
        <f t="shared" si="1"/>
        <v>0.54166666666666663</v>
      </c>
      <c r="G32" s="33">
        <v>0.54166666666666663</v>
      </c>
      <c r="H32" s="33">
        <v>0.82638888888888884</v>
      </c>
      <c r="I32" s="39">
        <f>IFERROR(IF(B32=VLOOKUP(B32,Feriados[],2,0),H32,IF(N32="Sáb",H32,IF(AND(B32&lt;$T$1,H32&lt;=$AA$3),$Z$3,IF(AND(N32="Sex",H32&gt;$AA$3),H32,IF(H32&lt;=$AA$3,$Z$3,IF(H32&lt;=$AA$8,$Z$8,H32)))))),IF(N32="Sáb",H32,IF(AND(B32&lt;$T$1,H32&lt;=$AA$3),$Z$3,IF(AND(N32="Sex",H32&gt;$AA$3),H32,IF(H32&lt;=$AA$3,$Z$3,IF(H32&lt;=$AA$8,$Z$8,H32))))))</f>
        <v>0.82638888888888884</v>
      </c>
      <c r="J32" s="33">
        <f t="shared" si="2"/>
        <v>0.375</v>
      </c>
      <c r="K32" s="33">
        <f>IFERROR(IF(H32="","",IF(B32=VLOOKUP(B32,Feriados[],2,0),(H32-D32)-(G32-E32),IF(D32&lt;=$Y$4,(I32-D32)-(G32-E32),(I32-C32)-(F32-E32)))),IF(AND(D32&lt;=$Y$4,F32-E32=$AB$1),(I32-D32)-(F32-E32),IF(D32&lt;$Y$4,(I32-D32)-(G32-E32),(I32-C32)-(F32-E32))))</f>
        <v>0.4513888888888889</v>
      </c>
      <c r="L32" s="40">
        <f>IF(B32=_xlfn.XLOOKUP(B32,Feriados[FE Oficial],Feriados[FE Talvez],"",0),"",IF(Q32="Compensado","",IF(AND(N32="Sex",D32&lt;$Y$4),($Z$4-D32)+$AB$1-(F32-E32)+(I32-$Z$3),IF(AND(N32="Sex",I32&gt;$Z$3),($AB$1-(F32-E32))+(I32-$Z$3),IF(AND(N32="Sex",E32&lt;&gt;"",D32&lt;$Y$4),($Z$4-D32)+$AB$1-(F32-E32)+(I32-$Z$3),IF(N32="Sáb",(I32-D32)-(G32-E32)-(S32-R32),IF(AND(B32&lt;$T$1,I32&gt;$Z$3),H32-$Z$3,IF(D32&lt;$Y$4,($Z$4-D32)+($AB$1-(F32-E32))+(I32-$Z$8)+(S32-R32),IF(AND(S32&lt;&gt;"",D32&gt;$Z$4),(S32-R32)-($AB$1-(F32-E32)),IF(AND(S32&lt;&gt;"",D32&lt;$Y$4),(S32-R32)-($AB$1-(F32-E32)+($Z$4-D32)),IF(I32&gt;$Z$8,($AB$1-(F32-E32))+(I32-$Z$8),IF(AND(N32="Sex",(F32-E32)&lt;($AB$1-$W$1)),($AB$1-(F32-E32)),IF(AND(O32&gt;($AB$1-$W$1),D32&gt;$Z$4),"",IF(AND(B32&gt;=$T$1,(F32-E32)&gt;($AB$1-$W$1)),"",IF(AND(D32&gt;=$Y$4,I32=$Z$8,S32=""),($AB$1-(F32-E32)),IF(AND(P32&lt;&gt;"",S32&lt;&gt;""),I32-$Z$8,IF(AND(P32&lt;&gt;"",D32&gt;$Y$4),$AB$1-(F32-E32),"")))))))))))))))))</f>
        <v>7.6388888888888867E-2</v>
      </c>
      <c r="M32" s="107" t="str">
        <f>IFERROR(IF(H32="","",IF(B32=VLOOKUP(B32,Feriados[],2,0),(H32-D32)-(G32-E32),"")),"")</f>
        <v/>
      </c>
      <c r="N32" s="38" t="str">
        <f t="shared" si="3"/>
        <v>Qui</v>
      </c>
      <c r="O32" s="112">
        <f t="shared" si="4"/>
        <v>4.166666666666663E-2</v>
      </c>
      <c r="P32" s="113" t="str">
        <f>IF(B32=_xlfn.XLOOKUP(B32,Feriados[FE Oficial],Feriados[FE Talvez],"",0),"",IF(B32&lt;$T$1,"",IF(Q32="Consulta","",IF(Q32="Compensado","",IF(N32="Sáb","",IF(S32&lt;&gt;"",(S32-R32)-(($AB$1-O32)-(D32-$Z$4)),IF(O32&gt;$AB$1,O32-$AB$1,IF(C32&gt;$Z$4,C32-$Z$4,IF(AND(N32="Sex",G32&lt;&gt;"",H32=""),$Z$3-G32,IF(AND(G32&lt;&gt;"",H32=""),$Z$3-G32,IF(AND(N32="Sex",H32&lt;$Y$3),$Z$3-H32,IF(AND(N32&lt;&gt;"Sex",H32&gt;$AA$8),"",IF(AND(N32="Sex",H32&gt;$Z$8),"",IF(AND(N32&lt;&gt;"Sex",I32&gt;$Z$8),$Z$8-H32,IF(AND(N32&lt;&gt;"Sex",H32&lt;$Y$8),$Z$8-H32,"")))))))))))))))</f>
        <v/>
      </c>
      <c r="Q32" s="33"/>
      <c r="R32" s="33"/>
      <c r="S32" s="33"/>
    </row>
    <row r="33" spans="1:19" x14ac:dyDescent="0.25">
      <c r="A33" s="115" t="s">
        <v>190</v>
      </c>
      <c r="B33" s="32">
        <v>43812</v>
      </c>
      <c r="C33" s="39">
        <f t="shared" si="0"/>
        <v>0.33333333333333331</v>
      </c>
      <c r="D33" s="33">
        <v>0.33333333333333331</v>
      </c>
      <c r="E33" s="33">
        <v>0.47916666666666669</v>
      </c>
      <c r="F33" s="39">
        <f t="shared" si="1"/>
        <v>0.52083333333333337</v>
      </c>
      <c r="G33" s="33">
        <v>0.52083333333333337</v>
      </c>
      <c r="H33" s="33">
        <v>0.83333333333333337</v>
      </c>
      <c r="I33" s="39">
        <f>IFERROR(IF(B33=VLOOKUP(B33,Feriados[],2,0),H33,IF(N33="Sáb",H33,IF(AND(B33&lt;$T$1,H33&lt;=$AA$3),$Z$3,IF(AND(N33="Sex",H33&gt;$AA$3),H33,IF(H33&lt;=$AA$3,$Z$3,IF(H33&lt;=$AA$8,$Z$8,H33)))))),IF(N33="Sáb",H33,IF(AND(B33&lt;$T$1,H33&lt;=$AA$3),$Z$3,IF(AND(N33="Sex",H33&gt;$AA$3),H33,IF(H33&lt;=$AA$3,$Z$3,IF(H33&lt;=$AA$8,$Z$8,H33))))))</f>
        <v>0.83333333333333337</v>
      </c>
      <c r="J33" s="33">
        <f t="shared" si="2"/>
        <v>0.375</v>
      </c>
      <c r="K33" s="33">
        <f>IFERROR(IF(H33="","",IF(B33=VLOOKUP(B33,Feriados[],2,0),(H33-D33)-(G33-E33),IF(D33&lt;=$Y$4,(I33-D33)-(G33-E33),(I33-C33)-(F33-E33)))),IF(AND(D33&lt;=$Y$4,F33-E33=$AB$1),(I33-D33)-(F33-E33),IF(D33&lt;$Y$4,(I33-D33)-(G33-E33),(I33-C33)-(F33-E33))))</f>
        <v>0.45833333333333331</v>
      </c>
      <c r="L33" s="40">
        <f>IF(B33=_xlfn.XLOOKUP(B33,Feriados[FE Oficial],Feriados[FE Talvez],"",0),"",IF(Q33="Compensado","",IF(AND(N33="Sex",D33&lt;$Y$4),($Z$4-D33)+$AB$1-(F33-E33)+(I33-$Z$3),IF(AND(N33="Sex",I33&gt;$Z$3),($AB$1-(F33-E33))+(I33-$Z$3),IF(AND(N33="Sex",E33&lt;&gt;"",D33&lt;$Y$4),($Z$4-D33)+$AB$1-(F33-E33)+(I33-$Z$3),IF(N33="Sáb",(I33-D33)-(G33-E33)-(S33-R33),IF(AND(B33&lt;$T$1,I33&gt;$Z$3),H33-$Z$3,IF(D33&lt;$Y$4,($Z$4-D33)+($AB$1-(F33-E33))+(I33-$Z$8)+(S33-R33),IF(AND(S33&lt;&gt;"",D33&gt;$Z$4),(S33-R33)-($AB$1-(F33-E33)),IF(AND(S33&lt;&gt;"",D33&lt;$Y$4),(S33-R33)-($AB$1-(F33-E33)+($Z$4-D33)),IF(I33&gt;$Z$8,($AB$1-(F33-E33))+(I33-$Z$8),IF(AND(N33="Sex",(F33-E33)&lt;($AB$1-$W$1)),($AB$1-(F33-E33)),IF(AND(O33&gt;($AB$1-$W$1),D33&gt;$Z$4),"",IF(AND(B33&gt;=$T$1,(F33-E33)&gt;($AB$1-$W$1)),"",IF(AND(D33&gt;=$Y$4,I33=$Z$8,S33=""),($AB$1-(F33-E33)),IF(AND(P33&lt;&gt;"",S33&lt;&gt;""),I33-$Z$8,IF(AND(P33&lt;&gt;"",D33&gt;$Y$4),$AB$1-(F33-E33),"")))))))))))))))))</f>
        <v>8.3333333333333343E-2</v>
      </c>
      <c r="M33" s="107" t="str">
        <f>IFERROR(IF(H33="","",IF(B33=VLOOKUP(B33,Feriados[],2,0),(H33-D33)-(G33-E33),"")),"")</f>
        <v/>
      </c>
      <c r="N33" s="38" t="str">
        <f t="shared" si="3"/>
        <v>Qui</v>
      </c>
      <c r="O33" s="112">
        <f t="shared" si="4"/>
        <v>4.1666666666666685E-2</v>
      </c>
      <c r="P33" s="113" t="str">
        <f>IF(B33=_xlfn.XLOOKUP(B33,Feriados[FE Oficial],Feriados[FE Talvez],"",0),"",IF(B33&lt;$T$1,"",IF(Q33="Consulta","",IF(Q33="Compensado","",IF(N33="Sáb","",IF(S33&lt;&gt;"",(S33-R33)-(($AB$1-O33)-(D33-$Z$4)),IF(O33&gt;$AB$1,O33-$AB$1,IF(C33&gt;$Z$4,C33-$Z$4,IF(AND(N33="Sex",G33&lt;&gt;"",H33=""),$Z$3-G33,IF(AND(G33&lt;&gt;"",H33=""),$Z$3-G33,IF(AND(N33="Sex",H33&lt;$Y$3),$Z$3-H33,IF(AND(N33&lt;&gt;"Sex",H33&gt;$AA$8),"",IF(AND(N33="Sex",H33&gt;$Z$8),"",IF(AND(N33&lt;&gt;"Sex",I33&gt;$Z$8),$Z$8-H33,IF(AND(N33&lt;&gt;"Sex",H33&lt;$Y$8),$Z$8-H33,"")))))))))))))))</f>
        <v/>
      </c>
      <c r="Q33" s="33"/>
      <c r="R33" s="33"/>
      <c r="S33" s="33"/>
    </row>
    <row r="34" spans="1:19" x14ac:dyDescent="0.25">
      <c r="A34" s="115" t="s">
        <v>194</v>
      </c>
      <c r="B34" s="32">
        <v>43812</v>
      </c>
      <c r="C34" s="39">
        <f t="shared" si="0"/>
        <v>0.33333333333333331</v>
      </c>
      <c r="D34" s="33">
        <v>0.29166666666666669</v>
      </c>
      <c r="E34" s="33">
        <v>0.5</v>
      </c>
      <c r="F34" s="39">
        <f t="shared" si="1"/>
        <v>0.54166666666666663</v>
      </c>
      <c r="G34" s="33">
        <v>0.54166666666666663</v>
      </c>
      <c r="H34" s="33">
        <v>0.83263888888888893</v>
      </c>
      <c r="I34" s="39">
        <f>IFERROR(IF(B34=VLOOKUP(B34,Feriados[],2,0),H34,IF(N34="Sáb",H34,IF(AND(B34&lt;$T$1,H34&lt;=$AA$3),$Z$3,IF(AND(N34="Sex",H34&gt;$AA$3),H34,IF(H34&lt;=$AA$3,$Z$3,IF(H34&lt;=$AA$8,$Z$8,H34)))))),IF(N34="Sáb",H34,IF(AND(B34&lt;$T$1,H34&lt;=$AA$3),$Z$3,IF(AND(N34="Sex",H34&gt;$AA$3),H34,IF(H34&lt;=$AA$3,$Z$3,IF(H34&lt;=$AA$8,$Z$8,H34))))))</f>
        <v>0.83263888888888893</v>
      </c>
      <c r="J34" s="33">
        <f t="shared" si="2"/>
        <v>0.375</v>
      </c>
      <c r="K34" s="33">
        <f>IFERROR(IF(H34="","",IF(B34=VLOOKUP(B34,Feriados[],2,0),(H34-D34)-(G34-E34),IF(D34&lt;=$Y$4,(I34-D34)-(G34-E34),(I34-C34)-(F34-E34)))),IF(AND(D34&lt;=$Y$4,F34-E34=$AB$1),(I34-D34)-(F34-E34),IF(D34&lt;$Y$4,(I34-D34)-(G34-E34),(I34-C34)-(F34-E34))))</f>
        <v>0.49930555555555556</v>
      </c>
      <c r="L34" s="40">
        <f>IF(B34=_xlfn.XLOOKUP(B34,Feriados[FE Oficial],Feriados[FE Talvez],"",0),"",IF(Q34="Compensado","",IF(AND(N34="Sex",D34&lt;$Y$4),($Z$4-D34)+$AB$1-(F34-E34)+(I34-$Z$3),IF(AND(N34="Sex",I34&gt;$Z$3),($AB$1-(F34-E34))+(I34-$Z$3),IF(AND(N34="Sex",E34&lt;&gt;"",D34&lt;$Y$4),($Z$4-D34)+$AB$1-(F34-E34)+(I34-$Z$3),IF(N34="Sáb",(I34-D34)-(G34-E34)-(S34-R34),IF(AND(B34&lt;$T$1,I34&gt;$Z$3),H34-$Z$3,IF(D34&lt;$Y$4,($Z$4-D34)+($AB$1-(F34-E34))+(I34-$Z$8)+(S34-R34),IF(AND(S34&lt;&gt;"",D34&gt;$Z$4),(S34-R34)-($AB$1-(F34-E34)),IF(AND(S34&lt;&gt;"",D34&lt;$Y$4),(S34-R34)-($AB$1-(F34-E34)+($Z$4-D34)),IF(I34&gt;$Z$8,($AB$1-(F34-E34))+(I34-$Z$8),IF(AND(N34="Sex",(F34-E34)&lt;($AB$1-$W$1)),($AB$1-(F34-E34)),IF(AND(O34&gt;($AB$1-$W$1),D34&gt;$Z$4),"",IF(AND(B34&gt;=$T$1,(F34-E34)&gt;($AB$1-$W$1)),"",IF(AND(D34&gt;=$Y$4,I34=$Z$8,S34=""),($AB$1-(F34-E34)),IF(AND(P34&lt;&gt;"",S34&lt;&gt;""),I34-$Z$8,IF(AND(P34&lt;&gt;"",D34&gt;$Y$4),$AB$1-(F34-E34),"")))))))))))))))))</f>
        <v>0.12430555555555559</v>
      </c>
      <c r="M34" s="107" t="str">
        <f>IFERROR(IF(H34="","",IF(B34=VLOOKUP(B34,Feriados[],2,0),(H34-D34)-(G34-E34),"")),"")</f>
        <v/>
      </c>
      <c r="N34" s="38" t="str">
        <f t="shared" si="3"/>
        <v>Qui</v>
      </c>
      <c r="O34" s="112">
        <f t="shared" si="4"/>
        <v>4.166666666666663E-2</v>
      </c>
      <c r="P34" s="113" t="str">
        <f>IF(B34=_xlfn.XLOOKUP(B34,Feriados[FE Oficial],Feriados[FE Talvez],"",0),"",IF(B34&lt;$T$1,"",IF(Q34="Consulta","",IF(Q34="Compensado","",IF(N34="Sáb","",IF(S34&lt;&gt;"",(S34-R34)-(($AB$1-O34)-(D34-$Z$4)),IF(O34&gt;$AB$1,O34-$AB$1,IF(C34&gt;$Z$4,C34-$Z$4,IF(AND(N34="Sex",G34&lt;&gt;"",H34=""),$Z$3-G34,IF(AND(G34&lt;&gt;"",H34=""),$Z$3-G34,IF(AND(N34="Sex",H34&lt;$Y$3),$Z$3-H34,IF(AND(N34&lt;&gt;"Sex",H34&gt;$AA$8),"",IF(AND(N34="Sex",H34&gt;$Z$8),"",IF(AND(N34&lt;&gt;"Sex",I34&gt;$Z$8),$Z$8-H34,IF(AND(N34&lt;&gt;"Sex",H34&lt;$Y$8),$Z$8-H34,"")))))))))))))))</f>
        <v/>
      </c>
      <c r="Q34" s="33"/>
      <c r="R34" s="33"/>
      <c r="S34" s="33"/>
    </row>
    <row r="35" spans="1:19" x14ac:dyDescent="0.25">
      <c r="A35" s="115" t="s">
        <v>189</v>
      </c>
      <c r="B35" s="32">
        <v>43812</v>
      </c>
      <c r="C35" s="39">
        <f t="shared" si="0"/>
        <v>0.33333333333333331</v>
      </c>
      <c r="D35" s="33">
        <v>0.29166666666666669</v>
      </c>
      <c r="E35" s="33">
        <v>0.5</v>
      </c>
      <c r="F35" s="39">
        <f t="shared" si="1"/>
        <v>0.54166666666666663</v>
      </c>
      <c r="G35" s="33">
        <v>0.54166666666666663</v>
      </c>
      <c r="H35" s="33">
        <v>0.75</v>
      </c>
      <c r="I35" s="39">
        <f>IFERROR(IF(B35=VLOOKUP(B35,Feriados[],2,0),H35,IF(N35="Sáb",H35,IF(AND(B35&lt;$T$1,H35&lt;=$AA$3),$Z$3,IF(AND(N35="Sex",H35&gt;$AA$3),H35,IF(H35&lt;=$AA$3,$Z$3,IF(H35&lt;=$AA$8,$Z$8,H35)))))),IF(N35="Sáb",H35,IF(AND(B35&lt;$T$1,H35&lt;=$AA$3),$Z$3,IF(AND(N35="Sex",H35&gt;$AA$3),H35,IF(H35&lt;=$AA$3,$Z$3,IF(H35&lt;=$AA$8,$Z$8,H35))))))</f>
        <v>0.75</v>
      </c>
      <c r="J35" s="33">
        <f t="shared" si="2"/>
        <v>0.375</v>
      </c>
      <c r="K35" s="33">
        <f>IFERROR(IF(H35="","",IF(B35=VLOOKUP(B35,Feriados[],2,0),(H35-D35)-(G35-E35),IF(D35&lt;=$Y$4,(I35-D35)-(G35-E35),(I35-C35)-(F35-E35)))),IF(AND(D35&lt;=$Y$4,F35-E35=$AB$1),(I35-D35)-(F35-E35),IF(D35&lt;$Y$4,(I35-D35)-(G35-E35),(I35-C35)-(F35-E35))))</f>
        <v>0.41666666666666669</v>
      </c>
      <c r="L35" s="40">
        <f>IF(B35=_xlfn.XLOOKUP(B35,Feriados[FE Oficial],Feriados[FE Talvez],"",0),"",IF(Q35="Compensado","",IF(AND(N35="Sex",D35&lt;$Y$4),($Z$4-D35)+$AB$1-(F35-E35)+(I35-$Z$3),IF(AND(N35="Sex",I35&gt;$Z$3),($AB$1-(F35-E35))+(I35-$Z$3),IF(AND(N35="Sex",E35&lt;&gt;"",D35&lt;$Y$4),($Z$4-D35)+$AB$1-(F35-E35)+(I35-$Z$3),IF(N35="Sáb",(I35-D35)-(G35-E35)-(S35-R35),IF(AND(B35&lt;$T$1,I35&gt;$Z$3),H35-$Z$3,IF(D35&lt;$Y$4,($Z$4-D35)+($AB$1-(F35-E35))+(I35-$Z$8)+(S35-R35),IF(AND(S35&lt;&gt;"",D35&gt;$Z$4),(S35-R35)-($AB$1-(F35-E35)),IF(AND(S35&lt;&gt;"",D35&lt;$Y$4),(S35-R35)-($AB$1-(F35-E35)+($Z$4-D35)),IF(I35&gt;$Z$8,($AB$1-(F35-E35))+(I35-$Z$8),IF(AND(N35="Sex",(F35-E35)&lt;($AB$1-$W$1)),($AB$1-(F35-E35)),IF(AND(O35&gt;($AB$1-$W$1),D35&gt;$Z$4),"",IF(AND(B35&gt;=$T$1,(F35-E35)&gt;($AB$1-$W$1)),"",IF(AND(D35&gt;=$Y$4,I35=$Z$8,S35=""),($AB$1-(F35-E35)),IF(AND(P35&lt;&gt;"",S35&lt;&gt;""),I35-$Z$8,IF(AND(P35&lt;&gt;"",D35&gt;$Y$4),$AB$1-(F35-E35),"")))))))))))))))))</f>
        <v>4.1666666666666664E-2</v>
      </c>
      <c r="M35" s="107" t="str">
        <f>IFERROR(IF(H35="","",IF(B35=VLOOKUP(B35,Feriados[],2,0),(H35-D35)-(G35-E35),"")),"")</f>
        <v/>
      </c>
      <c r="N35" s="38" t="str">
        <f t="shared" si="3"/>
        <v>Qui</v>
      </c>
      <c r="O35" s="112">
        <f t="shared" si="4"/>
        <v>4.166666666666663E-2</v>
      </c>
      <c r="P35" s="113" t="str">
        <f>IF(B35=_xlfn.XLOOKUP(B35,Feriados[FE Oficial],Feriados[FE Talvez],"",0),"",IF(B35&lt;$T$1,"",IF(Q35="Consulta","",IF(Q35="Compensado","",IF(N35="Sáb","",IF(S35&lt;&gt;"",(S35-R35)-(($AB$1-O35)-(D35-$Z$4)),IF(O35&gt;$AB$1,O35-$AB$1,IF(C35&gt;$Z$4,C35-$Z$4,IF(AND(N35="Sex",G35&lt;&gt;"",H35=""),$Z$3-G35,IF(AND(G35&lt;&gt;"",H35=""),$Z$3-G35,IF(AND(N35="Sex",H35&lt;$Y$3),$Z$3-H35,IF(AND(N35&lt;&gt;"Sex",H35&gt;$AA$8),"",IF(AND(N35="Sex",H35&gt;$Z$8),"",IF(AND(N35&lt;&gt;"Sex",I35&gt;$Z$8),$Z$8-H35,IF(AND(N35&lt;&gt;"Sex",H35&lt;$Y$8),$Z$8-H35,"")))))))))))))))</f>
        <v/>
      </c>
      <c r="Q35" s="33"/>
      <c r="R35" s="33"/>
      <c r="S35" s="33"/>
    </row>
    <row r="36" spans="1:19" x14ac:dyDescent="0.25">
      <c r="A36" s="115" t="s">
        <v>197</v>
      </c>
      <c r="B36" s="32">
        <v>43812</v>
      </c>
      <c r="C36" s="39">
        <f t="shared" si="0"/>
        <v>0.33333333333333331</v>
      </c>
      <c r="D36" s="33">
        <v>0.33333333333333331</v>
      </c>
      <c r="E36" s="33">
        <v>0.5</v>
      </c>
      <c r="F36" s="39">
        <f t="shared" si="1"/>
        <v>0.54166666666666663</v>
      </c>
      <c r="G36" s="33">
        <v>0.54166666666666663</v>
      </c>
      <c r="H36" s="33">
        <v>0.75</v>
      </c>
      <c r="I36" s="39">
        <f>IFERROR(IF(B36=VLOOKUP(B36,Feriados[],2,0),H36,IF(N36="Sáb",H36,IF(AND(B36&lt;$T$1,H36&lt;=$AA$3),$Z$3,IF(AND(N36="Sex",H36&gt;$AA$3),H36,IF(H36&lt;=$AA$3,$Z$3,IF(H36&lt;=$AA$8,$Z$8,H36)))))),IF(N36="Sáb",H36,IF(AND(B36&lt;$T$1,H36&lt;=$AA$3),$Z$3,IF(AND(N36="Sex",H36&gt;$AA$3),H36,IF(H36&lt;=$AA$3,$Z$3,IF(H36&lt;=$AA$8,$Z$8,H36))))))</f>
        <v>0.75</v>
      </c>
      <c r="J36" s="33">
        <f t="shared" si="2"/>
        <v>0.37500000000000006</v>
      </c>
      <c r="K36" s="33">
        <f>IFERROR(IF(H36="","",IF(B36=VLOOKUP(B36,Feriados[],2,0),(H36-D36)-(G36-E36),IF(D36&lt;=$Y$4,(I36-D36)-(G36-E36),(I36-C36)-(F36-E36)))),IF(AND(D36&lt;=$Y$4,F36-E36=$AB$1),(I36-D36)-(F36-E36),IF(D36&lt;$Y$4,(I36-D36)-(G36-E36),(I36-C36)-(F36-E36))))</f>
        <v>0.37500000000000006</v>
      </c>
      <c r="L36" s="40" t="str">
        <f>IF(B36=_xlfn.XLOOKUP(B36,Feriados[FE Oficial],Feriados[FE Talvez],"",0),"",IF(Q36="Compensado","",IF(AND(N36="Sex",D36&lt;$Y$4),($Z$4-D36)+$AB$1-(F36-E36)+(I36-$Z$3),IF(AND(N36="Sex",I36&gt;$Z$3),($AB$1-(F36-E36))+(I36-$Z$3),IF(AND(N36="Sex",E36&lt;&gt;"",D36&lt;$Y$4),($Z$4-D36)+$AB$1-(F36-E36)+(I36-$Z$3),IF(N36="Sáb",(I36-D36)-(G36-E36)-(S36-R36),IF(AND(B36&lt;$T$1,I36&gt;$Z$3),H36-$Z$3,IF(D36&lt;$Y$4,($Z$4-D36)+($AB$1-(F36-E36))+(I36-$Z$8)+(S36-R36),IF(AND(S36&lt;&gt;"",D36&gt;$Z$4),(S36-R36)-($AB$1-(F36-E36)),IF(AND(S36&lt;&gt;"",D36&lt;$Y$4),(S36-R36)-($AB$1-(F36-E36)+($Z$4-D36)),IF(I36&gt;$Z$8,($AB$1-(F36-E36))+(I36-$Z$8),IF(AND(N36="Sex",(F36-E36)&lt;($AB$1-$W$1)),($AB$1-(F36-E36)),IF(AND(O36&gt;($AB$1-$W$1),D36&gt;$Z$4),"",IF(AND(B36&gt;=$T$1,(F36-E36)&gt;($AB$1-$W$1)),"",IF(AND(D36&gt;=$Y$4,I36=$Z$8,S36=""),($AB$1-(F36-E36)),IF(AND(P36&lt;&gt;"",S36&lt;&gt;""),I36-$Z$8,IF(AND(P36&lt;&gt;"",D36&gt;$Y$4),$AB$1-(F36-E36),"")))))))))))))))))</f>
        <v/>
      </c>
      <c r="M36" s="107" t="str">
        <f>IFERROR(IF(H36="","",IF(B36=VLOOKUP(B36,Feriados[],2,0),(H36-D36)-(G36-E36),"")),"")</f>
        <v/>
      </c>
      <c r="N36" s="38" t="str">
        <f t="shared" si="3"/>
        <v>Qui</v>
      </c>
      <c r="O36" s="112">
        <f t="shared" si="4"/>
        <v>4.166666666666663E-2</v>
      </c>
      <c r="P36" s="113" t="str">
        <f>IF(B36=_xlfn.XLOOKUP(B36,Feriados[FE Oficial],Feriados[FE Talvez],"",0),"",IF(B36&lt;$T$1,"",IF(Q36="Consulta","",IF(Q36="Compensado","",IF(N36="Sáb","",IF(S36&lt;&gt;"",(S36-R36)-(($AB$1-O36)-(D36-$Z$4)),IF(O36&gt;$AB$1,O36-$AB$1,IF(C36&gt;$Z$4,C36-$Z$4,IF(AND(N36="Sex",G36&lt;&gt;"",H36=""),$Z$3-G36,IF(AND(G36&lt;&gt;"",H36=""),$Z$3-G36,IF(AND(N36="Sex",H36&lt;$Y$3),$Z$3-H36,IF(AND(N36&lt;&gt;"Sex",H36&gt;$AA$8),"",IF(AND(N36="Sex",H36&gt;$Z$8),"",IF(AND(N36&lt;&gt;"Sex",I36&gt;$Z$8),$Z$8-H36,IF(AND(N36&lt;&gt;"Sex",H36&lt;$Y$8),$Z$8-H36,"")))))))))))))))</f>
        <v/>
      </c>
      <c r="Q36" s="33"/>
      <c r="R36" s="33"/>
      <c r="S36" s="33"/>
    </row>
    <row r="37" spans="1:19" x14ac:dyDescent="0.25">
      <c r="A37" s="115" t="s">
        <v>191</v>
      </c>
      <c r="B37" s="32">
        <v>43812</v>
      </c>
      <c r="C37" s="39">
        <f t="shared" si="0"/>
        <v>0.33333333333333331</v>
      </c>
      <c r="D37" s="33">
        <v>0.33333333333333331</v>
      </c>
      <c r="E37" s="33">
        <v>0.47916666666666669</v>
      </c>
      <c r="F37" s="39">
        <f t="shared" si="1"/>
        <v>0.52083333333333337</v>
      </c>
      <c r="G37" s="33">
        <v>0.52083333333333337</v>
      </c>
      <c r="H37" s="33">
        <v>0.75</v>
      </c>
      <c r="I37" s="39">
        <f>IFERROR(IF(B37=VLOOKUP(B37,Feriados[],2,0),H37,IF(N37="Sáb",H37,IF(AND(B37&lt;$T$1,H37&lt;=$AA$3),$Z$3,IF(AND(N37="Sex",H37&gt;$AA$3),H37,IF(H37&lt;=$AA$3,$Z$3,IF(H37&lt;=$AA$8,$Z$8,H37)))))),IF(N37="Sáb",H37,IF(AND(B37&lt;$T$1,H37&lt;=$AA$3),$Z$3,IF(AND(N37="Sex",H37&gt;$AA$3),H37,IF(H37&lt;=$AA$3,$Z$3,IF(H37&lt;=$AA$8,$Z$8,H37))))))</f>
        <v>0.75</v>
      </c>
      <c r="J37" s="33">
        <f t="shared" si="2"/>
        <v>0.375</v>
      </c>
      <c r="K37" s="33">
        <f>IFERROR(IF(H37="","",IF(B37=VLOOKUP(B37,Feriados[],2,0),(H37-D37)-(G37-E37),IF(D37&lt;=$Y$4,(I37-D37)-(G37-E37),(I37-C37)-(F37-E37)))),IF(AND(D37&lt;=$Y$4,F37-E37=$AB$1),(I37-D37)-(F37-E37),IF(D37&lt;$Y$4,(I37-D37)-(G37-E37),(I37-C37)-(F37-E37))))</f>
        <v>0.375</v>
      </c>
      <c r="L37" s="40" t="str">
        <f>IF(B37=_xlfn.XLOOKUP(B37,Feriados[FE Oficial],Feriados[FE Talvez],"",0),"",IF(Q37="Compensado","",IF(AND(N37="Sex",D37&lt;$Y$4),($Z$4-D37)+$AB$1-(F37-E37)+(I37-$Z$3),IF(AND(N37="Sex",I37&gt;$Z$3),($AB$1-(F37-E37))+(I37-$Z$3),IF(AND(N37="Sex",E37&lt;&gt;"",D37&lt;$Y$4),($Z$4-D37)+$AB$1-(F37-E37)+(I37-$Z$3),IF(N37="Sáb",(I37-D37)-(G37-E37)-(S37-R37),IF(AND(B37&lt;$T$1,I37&gt;$Z$3),H37-$Z$3,IF(D37&lt;$Y$4,($Z$4-D37)+($AB$1-(F37-E37))+(I37-$Z$8)+(S37-R37),IF(AND(S37&lt;&gt;"",D37&gt;$Z$4),(S37-R37)-($AB$1-(F37-E37)),IF(AND(S37&lt;&gt;"",D37&lt;$Y$4),(S37-R37)-($AB$1-(F37-E37)+($Z$4-D37)),IF(I37&gt;$Z$8,($AB$1-(F37-E37))+(I37-$Z$8),IF(AND(N37="Sex",(F37-E37)&lt;($AB$1-$W$1)),($AB$1-(F37-E37)),IF(AND(O37&gt;($AB$1-$W$1),D37&gt;$Z$4),"",IF(AND(B37&gt;=$T$1,(F37-E37)&gt;($AB$1-$W$1)),"",IF(AND(D37&gt;=$Y$4,I37=$Z$8,S37=""),($AB$1-(F37-E37)),IF(AND(P37&lt;&gt;"",S37&lt;&gt;""),I37-$Z$8,IF(AND(P37&lt;&gt;"",D37&gt;$Y$4),$AB$1-(F37-E37),"")))))))))))))))))</f>
        <v/>
      </c>
      <c r="M37" s="107" t="str">
        <f>IFERROR(IF(H37="","",IF(B37=VLOOKUP(B37,Feriados[],2,0),(H37-D37)-(G37-E37),"")),"")</f>
        <v/>
      </c>
      <c r="N37" s="38" t="str">
        <f t="shared" si="3"/>
        <v>Qui</v>
      </c>
      <c r="O37" s="112">
        <f t="shared" si="4"/>
        <v>4.1666666666666685E-2</v>
      </c>
      <c r="P37" s="113" t="str">
        <f>IF(B37=_xlfn.XLOOKUP(B37,Feriados[FE Oficial],Feriados[FE Talvez],"",0),"",IF(B37&lt;$T$1,"",IF(Q37="Consulta","",IF(Q37="Compensado","",IF(N37="Sáb","",IF(S37&lt;&gt;"",(S37-R37)-(($AB$1-O37)-(D37-$Z$4)),IF(O37&gt;$AB$1,O37-$AB$1,IF(C37&gt;$Z$4,C37-$Z$4,IF(AND(N37="Sex",G37&lt;&gt;"",H37=""),$Z$3-G37,IF(AND(G37&lt;&gt;"",H37=""),$Z$3-G37,IF(AND(N37="Sex",H37&lt;$Y$3),$Z$3-H37,IF(AND(N37&lt;&gt;"Sex",H37&gt;$AA$8),"",IF(AND(N37="Sex",H37&gt;$Z$8),"",IF(AND(N37&lt;&gt;"Sex",I37&gt;$Z$8),$Z$8-H37,IF(AND(N37&lt;&gt;"Sex",H37&lt;$Y$8),$Z$8-H37,"")))))))))))))))</f>
        <v/>
      </c>
      <c r="Q37" s="33"/>
      <c r="R37" s="33"/>
      <c r="S37" s="33"/>
    </row>
    <row r="38" spans="1:19" x14ac:dyDescent="0.25">
      <c r="A38" s="116" t="s">
        <v>182</v>
      </c>
      <c r="B38" s="32">
        <v>43813</v>
      </c>
      <c r="C38" s="39">
        <f t="shared" si="0"/>
        <v>0.35069444444444442</v>
      </c>
      <c r="D38" s="33">
        <v>0.35069444444444442</v>
      </c>
      <c r="E38" s="33">
        <v>0.5</v>
      </c>
      <c r="F38" s="39">
        <f t="shared" si="1"/>
        <v>0.54166666666666663</v>
      </c>
      <c r="G38" s="33">
        <v>0.54166666666666663</v>
      </c>
      <c r="H38" s="33">
        <v>0.75</v>
      </c>
      <c r="I38" s="39">
        <f>IFERROR(IF(B38=VLOOKUP(B38,Feriados[],2,0),H38,IF(N38="Sáb",H38,IF(AND(B38&lt;$T$1,H38&lt;=$AA$3),$Z$3,IF(AND(N38="Sex",H38&gt;$AA$3),H38,IF(H38&lt;=$AA$3,$Z$3,IF(H38&lt;=$AA$8,$Z$8,H38)))))),IF(N38="Sáb",H38,IF(AND(B38&lt;$T$1,H38&lt;=$AA$3),$Z$3,IF(AND(N38="Sex",H38&gt;$AA$3),H38,IF(H38&lt;=$AA$3,$Z$3,IF(H38&lt;=$AA$8,$Z$8,H38))))))</f>
        <v>0.75</v>
      </c>
      <c r="J38" s="33">
        <f t="shared" si="2"/>
        <v>0.33333333333333331</v>
      </c>
      <c r="K38" s="33">
        <f>IFERROR(IF(H38="","",IF(B38=VLOOKUP(B38,Feriados[],2,0),(H38-D38)-(G38-E38),IF(D38&lt;=$Y$4,(I38-D38)-(G38-E38),(I38-C38)-(F38-E38)))),IF(AND(D38&lt;=$Y$4,F38-E38=$AB$1),(I38-D38)-(F38-E38),IF(D38&lt;$Y$4,(I38-D38)-(G38-E38),(I38-C38)-(F38-E38))))</f>
        <v>0.35763888888888895</v>
      </c>
      <c r="L38" s="40">
        <f>IF(B38=_xlfn.XLOOKUP(B38,Feriados[FE Oficial],Feriados[FE Talvez],"",0),"",IF(Q38="Compensado","",IF(AND(N38="Sex",D38&lt;$Y$4),($Z$4-D38)+$AB$1-(F38-E38)+(I38-$Z$3),IF(AND(N38="Sex",I38&gt;$Z$3),($AB$1-(F38-E38))+(I38-$Z$3),IF(AND(N38="Sex",E38&lt;&gt;"",D38&lt;$Y$4),($Z$4-D38)+$AB$1-(F38-E38)+(I38-$Z$3),IF(N38="Sáb",(I38-D38)-(G38-E38)-(S38-R38),IF(AND(B38&lt;$T$1,I38&gt;$Z$3),H38-$Z$3,IF(D38&lt;$Y$4,($Z$4-D38)+($AB$1-(F38-E38))+(I38-$Z$8)+(S38-R38),IF(AND(S38&lt;&gt;"",D38&gt;$Z$4),(S38-R38)-($AB$1-(F38-E38)),IF(AND(S38&lt;&gt;"",D38&lt;$Y$4),(S38-R38)-($AB$1-(F38-E38)+($Z$4-D38)),IF(I38&gt;$Z$8,($AB$1-(F38-E38))+(I38-$Z$8),IF(AND(N38="Sex",(F38-E38)&lt;($AB$1-$W$1)),($AB$1-(F38-E38)),IF(AND(O38&gt;($AB$1-$W$1),D38&gt;$Z$4),"",IF(AND(B38&gt;=$T$1,(F38-E38)&gt;($AB$1-$W$1)),"",IF(AND(D38&gt;=$Y$4,I38=$Z$8,S38=""),($AB$1-(F38-E38)),IF(AND(P38&lt;&gt;"",S38&lt;&gt;""),I38-$Z$8,IF(AND(P38&lt;&gt;"",D38&gt;$Y$4),$AB$1-(F38-E38),"")))))))))))))))))</f>
        <v>4.1666666666666664E-2</v>
      </c>
      <c r="M38" s="107" t="str">
        <f>IFERROR(IF(H38="","",IF(B38=VLOOKUP(B38,Feriados[],2,0),(H38-D38)-(G38-E38),"")),"")</f>
        <v/>
      </c>
      <c r="N38" s="38" t="str">
        <f t="shared" si="3"/>
        <v>Sex</v>
      </c>
      <c r="O38" s="112">
        <f t="shared" si="4"/>
        <v>4.166666666666663E-2</v>
      </c>
      <c r="P38" s="113">
        <f>IF(B38=_xlfn.XLOOKUP(B38,Feriados[FE Oficial],Feriados[FE Talvez],"",0),"",IF(B38&lt;$T$1,"",IF(Q38="Consulta","",IF(Q38="Compensado","",IF(N38="Sáb","",IF(S38&lt;&gt;"",(S38-R38)-(($AB$1-O38)-(D38-$Z$4)),IF(O38&gt;$AB$1,O38-$AB$1,IF(C38&gt;$Z$4,C38-$Z$4,IF(AND(N38="Sex",G38&lt;&gt;"",H38=""),$Z$3-G38,IF(AND(G38&lt;&gt;"",H38=""),$Z$3-G38,IF(AND(N38="Sex",H38&lt;$Y$3),$Z$3-H38,IF(AND(N38&lt;&gt;"Sex",H38&gt;$AA$8),"",IF(AND(N38="Sex",H38&gt;$Z$8),"",IF(AND(N38&lt;&gt;"Sex",I38&gt;$Z$8),$Z$8-H38,IF(AND(N38&lt;&gt;"Sex",H38&lt;$Y$8),$Z$8-H38,"")))))))))))))))</f>
        <v>1.7361111111111105E-2</v>
      </c>
      <c r="Q38" s="33"/>
      <c r="R38" s="33"/>
      <c r="S38" s="33"/>
    </row>
    <row r="39" spans="1:19" x14ac:dyDescent="0.25">
      <c r="A39" s="116" t="s">
        <v>197</v>
      </c>
      <c r="B39" s="32">
        <v>43813</v>
      </c>
      <c r="C39" s="39">
        <f t="shared" si="0"/>
        <v>0.33333333333333331</v>
      </c>
      <c r="D39" s="33">
        <v>0.33333333333333331</v>
      </c>
      <c r="E39" s="33">
        <v>0.47916666666666669</v>
      </c>
      <c r="F39" s="39">
        <f t="shared" si="1"/>
        <v>0.52083333333333337</v>
      </c>
      <c r="G39" s="33">
        <v>0.52083333333333337</v>
      </c>
      <c r="H39" s="33">
        <v>0.75</v>
      </c>
      <c r="I39" s="39">
        <f>IFERROR(IF(B39=VLOOKUP(B39,Feriados[],2,0),H39,IF(N39="Sáb",H39,IF(AND(B39&lt;$T$1,H39&lt;=$AA$3),$Z$3,IF(AND(N39="Sex",H39&gt;$AA$3),H39,IF(H39&lt;=$AA$3,$Z$3,IF(H39&lt;=$AA$8,$Z$8,H39)))))),IF(N39="Sáb",H39,IF(AND(B39&lt;$T$1,H39&lt;=$AA$3),$Z$3,IF(AND(N39="Sex",H39&gt;$AA$3),H39,IF(H39&lt;=$AA$3,$Z$3,IF(H39&lt;=$AA$8,$Z$8,H39))))))</f>
        <v>0.75</v>
      </c>
      <c r="J39" s="33">
        <f t="shared" si="2"/>
        <v>0.33333333333333331</v>
      </c>
      <c r="K39" s="33">
        <f>IFERROR(IF(H39="","",IF(B39=VLOOKUP(B39,Feriados[],2,0),(H39-D39)-(G39-E39),IF(D39&lt;=$Y$4,(I39-D39)-(G39-E39),(I39-C39)-(F39-E39)))),IF(AND(D39&lt;=$Y$4,F39-E39=$AB$1),(I39-D39)-(F39-E39),IF(D39&lt;$Y$4,(I39-D39)-(G39-E39),(I39-C39)-(F39-E39))))</f>
        <v>0.375</v>
      </c>
      <c r="L39" s="40">
        <f>IF(B39=_xlfn.XLOOKUP(B39,Feriados[FE Oficial],Feriados[FE Talvez],"",0),"",IF(Q39="Compensado","",IF(AND(N39="Sex",D39&lt;$Y$4),($Z$4-D39)+$AB$1-(F39-E39)+(I39-$Z$3),IF(AND(N39="Sex",I39&gt;$Z$3),($AB$1-(F39-E39))+(I39-$Z$3),IF(AND(N39="Sex",E39&lt;&gt;"",D39&lt;$Y$4),($Z$4-D39)+$AB$1-(F39-E39)+(I39-$Z$3),IF(N39="Sáb",(I39-D39)-(G39-E39)-(S39-R39),IF(AND(B39&lt;$T$1,I39&gt;$Z$3),H39-$Z$3,IF(D39&lt;$Y$4,($Z$4-D39)+($AB$1-(F39-E39))+(I39-$Z$8)+(S39-R39),IF(AND(S39&lt;&gt;"",D39&gt;$Z$4),(S39-R39)-($AB$1-(F39-E39)),IF(AND(S39&lt;&gt;"",D39&lt;$Y$4),(S39-R39)-($AB$1-(F39-E39)+($Z$4-D39)),IF(I39&gt;$Z$8,($AB$1-(F39-E39))+(I39-$Z$8),IF(AND(N39="Sex",(F39-E39)&lt;($AB$1-$W$1)),($AB$1-(F39-E39)),IF(AND(O39&gt;($AB$1-$W$1),D39&gt;$Z$4),"",IF(AND(B39&gt;=$T$1,(F39-E39)&gt;($AB$1-$W$1)),"",IF(AND(D39&gt;=$Y$4,I39=$Z$8,S39=""),($AB$1-(F39-E39)),IF(AND(P39&lt;&gt;"",S39&lt;&gt;""),I39-$Z$8,IF(AND(P39&lt;&gt;"",D39&gt;$Y$4),$AB$1-(F39-E39),"")))))))))))))))))</f>
        <v>4.1666666666666609E-2</v>
      </c>
      <c r="M39" s="107" t="str">
        <f>IFERROR(IF(H39="","",IF(B39=VLOOKUP(B39,Feriados[],2,0),(H39-D39)-(G39-E39),"")),"")</f>
        <v/>
      </c>
      <c r="N39" s="38" t="str">
        <f t="shared" si="3"/>
        <v>Sex</v>
      </c>
      <c r="O39" s="112">
        <f t="shared" si="4"/>
        <v>4.1666666666666685E-2</v>
      </c>
      <c r="P39" s="113" t="str">
        <f>IF(B39=_xlfn.XLOOKUP(B39,Feriados[FE Oficial],Feriados[FE Talvez],"",0),"",IF(B39&lt;$T$1,"",IF(Q39="Consulta","",IF(Q39="Compensado","",IF(N39="Sáb","",IF(S39&lt;&gt;"",(S39-R39)-(($AB$1-O39)-(D39-$Z$4)),IF(O39&gt;$AB$1,O39-$AB$1,IF(C39&gt;$Z$4,C39-$Z$4,IF(AND(N39="Sex",G39&lt;&gt;"",H39=""),$Z$3-G39,IF(AND(G39&lt;&gt;"",H39=""),$Z$3-G39,IF(AND(N39="Sex",H39&lt;$Y$3),$Z$3-H39,IF(AND(N39&lt;&gt;"Sex",H39&gt;$AA$8),"",IF(AND(N39="Sex",H39&gt;$Z$8),"",IF(AND(N39&lt;&gt;"Sex",I39&gt;$Z$8),$Z$8-H39,IF(AND(N39&lt;&gt;"Sex",H39&lt;$Y$8),$Z$8-H39,"")))))))))))))))</f>
        <v/>
      </c>
      <c r="Q39" s="33"/>
      <c r="R39" s="33"/>
      <c r="S39" s="33"/>
    </row>
    <row r="40" spans="1:19" x14ac:dyDescent="0.25">
      <c r="A40" s="116" t="s">
        <v>175</v>
      </c>
      <c r="B40" s="32">
        <v>43813</v>
      </c>
      <c r="C40" s="39">
        <f t="shared" si="0"/>
        <v>0.33333333333333331</v>
      </c>
      <c r="D40" s="33">
        <v>0.33333333333333331</v>
      </c>
      <c r="E40" s="33">
        <v>0.5</v>
      </c>
      <c r="F40" s="39">
        <f t="shared" si="1"/>
        <v>0.54166666666666663</v>
      </c>
      <c r="G40" s="33">
        <v>0.54166666666666663</v>
      </c>
      <c r="H40" s="33">
        <v>0.75</v>
      </c>
      <c r="I40" s="39">
        <f>IFERROR(IF(B40=VLOOKUP(B40,Feriados[],2,0),H40,IF(N40="Sáb",H40,IF(AND(B40&lt;$T$1,H40&lt;=$AA$3),$Z$3,IF(AND(N40="Sex",H40&gt;$AA$3),H40,IF(H40&lt;=$AA$3,$Z$3,IF(H40&lt;=$AA$8,$Z$8,H40)))))),IF(N40="Sáb",H40,IF(AND(B40&lt;$T$1,H40&lt;=$AA$3),$Z$3,IF(AND(N40="Sex",H40&gt;$AA$3),H40,IF(H40&lt;=$AA$3,$Z$3,IF(H40&lt;=$AA$8,$Z$8,H40))))))</f>
        <v>0.75</v>
      </c>
      <c r="J40" s="33">
        <f t="shared" si="2"/>
        <v>0.33333333333333331</v>
      </c>
      <c r="K40" s="33">
        <f>IFERROR(IF(H40="","",IF(B40=VLOOKUP(B40,Feriados[],2,0),(H40-D40)-(G40-E40),IF(D40&lt;=$Y$4,(I40-D40)-(G40-E40),(I40-C40)-(F40-E40)))),IF(AND(D40&lt;=$Y$4,F40-E40=$AB$1),(I40-D40)-(F40-E40),IF(D40&lt;$Y$4,(I40-D40)-(G40-E40),(I40-C40)-(F40-E40))))</f>
        <v>0.37500000000000006</v>
      </c>
      <c r="L40" s="40">
        <f>IF(B40=_xlfn.XLOOKUP(B40,Feriados[FE Oficial],Feriados[FE Talvez],"",0),"",IF(Q40="Compensado","",IF(AND(N40="Sex",D40&lt;$Y$4),($Z$4-D40)+$AB$1-(F40-E40)+(I40-$Z$3),IF(AND(N40="Sex",I40&gt;$Z$3),($AB$1-(F40-E40))+(I40-$Z$3),IF(AND(N40="Sex",E40&lt;&gt;"",D40&lt;$Y$4),($Z$4-D40)+$AB$1-(F40-E40)+(I40-$Z$3),IF(N40="Sáb",(I40-D40)-(G40-E40)-(S40-R40),IF(AND(B40&lt;$T$1,I40&gt;$Z$3),H40-$Z$3,IF(D40&lt;$Y$4,($Z$4-D40)+($AB$1-(F40-E40))+(I40-$Z$8)+(S40-R40),IF(AND(S40&lt;&gt;"",D40&gt;$Z$4),(S40-R40)-($AB$1-(F40-E40)),IF(AND(S40&lt;&gt;"",D40&lt;$Y$4),(S40-R40)-($AB$1-(F40-E40)+($Z$4-D40)),IF(I40&gt;$Z$8,($AB$1-(F40-E40))+(I40-$Z$8),IF(AND(N40="Sex",(F40-E40)&lt;($AB$1-$W$1)),($AB$1-(F40-E40)),IF(AND(O40&gt;($AB$1-$W$1),D40&gt;$Z$4),"",IF(AND(B40&gt;=$T$1,(F40-E40)&gt;($AB$1-$W$1)),"",IF(AND(D40&gt;=$Y$4,I40=$Z$8,S40=""),($AB$1-(F40-E40)),IF(AND(P40&lt;&gt;"",S40&lt;&gt;""),I40-$Z$8,IF(AND(P40&lt;&gt;"",D40&gt;$Y$4),$AB$1-(F40-E40),"")))))))))))))))))</f>
        <v>4.1666666666666664E-2</v>
      </c>
      <c r="M40" s="107" t="str">
        <f>IFERROR(IF(H40="","",IF(B40=VLOOKUP(B40,Feriados[],2,0),(H40-D40)-(G40-E40),"")),"")</f>
        <v/>
      </c>
      <c r="N40" s="38" t="str">
        <f t="shared" si="3"/>
        <v>Sex</v>
      </c>
      <c r="O40" s="112">
        <f t="shared" si="4"/>
        <v>4.166666666666663E-2</v>
      </c>
      <c r="P40" s="113" t="str">
        <f>IF(B40=_xlfn.XLOOKUP(B40,Feriados[FE Oficial],Feriados[FE Talvez],"",0),"",IF(B40&lt;$T$1,"",IF(Q40="Consulta","",IF(Q40="Compensado","",IF(N40="Sáb","",IF(S40&lt;&gt;"",(S40-R40)-(($AB$1-O40)-(D40-$Z$4)),IF(O40&gt;$AB$1,O40-$AB$1,IF(C40&gt;$Z$4,C40-$Z$4,IF(AND(N40="Sex",G40&lt;&gt;"",H40=""),$Z$3-G40,IF(AND(G40&lt;&gt;"",H40=""),$Z$3-G40,IF(AND(N40="Sex",H40&lt;$Y$3),$Z$3-H40,IF(AND(N40&lt;&gt;"Sex",H40&gt;$AA$8),"",IF(AND(N40="Sex",H40&gt;$Z$8),"",IF(AND(N40&lt;&gt;"Sex",I40&gt;$Z$8),$Z$8-H40,IF(AND(N40&lt;&gt;"Sex",H40&lt;$Y$8),$Z$8-H40,"")))))))))))))))</f>
        <v/>
      </c>
      <c r="Q40" s="33"/>
      <c r="R40" s="33"/>
      <c r="S40" s="33"/>
    </row>
    <row r="41" spans="1:19" x14ac:dyDescent="0.25">
      <c r="A41" s="116" t="s">
        <v>191</v>
      </c>
      <c r="B41" s="32">
        <v>43813</v>
      </c>
      <c r="C41" s="39">
        <f t="shared" si="0"/>
        <v>0.33333333333333331</v>
      </c>
      <c r="D41" s="33">
        <v>0.33333333333333331</v>
      </c>
      <c r="E41" s="33">
        <v>0.47916666666666669</v>
      </c>
      <c r="F41" s="39">
        <f t="shared" si="1"/>
        <v>0.52083333333333337</v>
      </c>
      <c r="G41" s="33">
        <v>0.52083333333333337</v>
      </c>
      <c r="H41" s="33">
        <v>0.75</v>
      </c>
      <c r="I41" s="39">
        <f>IFERROR(IF(B41=VLOOKUP(B41,Feriados[],2,0),H41,IF(N41="Sáb",H41,IF(AND(B41&lt;$T$1,H41&lt;=$AA$3),$Z$3,IF(AND(N41="Sex",H41&gt;$AA$3),H41,IF(H41&lt;=$AA$3,$Z$3,IF(H41&lt;=$AA$8,$Z$8,H41)))))),IF(N41="Sáb",H41,IF(AND(B41&lt;$T$1,H41&lt;=$AA$3),$Z$3,IF(AND(N41="Sex",H41&gt;$AA$3),H41,IF(H41&lt;=$AA$3,$Z$3,IF(H41&lt;=$AA$8,$Z$8,H41))))))</f>
        <v>0.75</v>
      </c>
      <c r="J41" s="33">
        <f t="shared" si="2"/>
        <v>0.33333333333333331</v>
      </c>
      <c r="K41" s="33">
        <f>IFERROR(IF(H41="","",IF(B41=VLOOKUP(B41,Feriados[],2,0),(H41-D41)-(G41-E41),IF(D41&lt;=$Y$4,(I41-D41)-(G41-E41),(I41-C41)-(F41-E41)))),IF(AND(D41&lt;=$Y$4,F41-E41=$AB$1),(I41-D41)-(F41-E41),IF(D41&lt;$Y$4,(I41-D41)-(G41-E41),(I41-C41)-(F41-E41))))</f>
        <v>0.375</v>
      </c>
      <c r="L41" s="40">
        <f>IF(B41=_xlfn.XLOOKUP(B41,Feriados[FE Oficial],Feriados[FE Talvez],"",0),"",IF(Q41="Compensado","",IF(AND(N41="Sex",D41&lt;$Y$4),($Z$4-D41)+$AB$1-(F41-E41)+(I41-$Z$3),IF(AND(N41="Sex",I41&gt;$Z$3),($AB$1-(F41-E41))+(I41-$Z$3),IF(AND(N41="Sex",E41&lt;&gt;"",D41&lt;$Y$4),($Z$4-D41)+$AB$1-(F41-E41)+(I41-$Z$3),IF(N41="Sáb",(I41-D41)-(G41-E41)-(S41-R41),IF(AND(B41&lt;$T$1,I41&gt;$Z$3),H41-$Z$3,IF(D41&lt;$Y$4,($Z$4-D41)+($AB$1-(F41-E41))+(I41-$Z$8)+(S41-R41),IF(AND(S41&lt;&gt;"",D41&gt;$Z$4),(S41-R41)-($AB$1-(F41-E41)),IF(AND(S41&lt;&gt;"",D41&lt;$Y$4),(S41-R41)-($AB$1-(F41-E41)+($Z$4-D41)),IF(I41&gt;$Z$8,($AB$1-(F41-E41))+(I41-$Z$8),IF(AND(N41="Sex",(F41-E41)&lt;($AB$1-$W$1)),($AB$1-(F41-E41)),IF(AND(O41&gt;($AB$1-$W$1),D41&gt;$Z$4),"",IF(AND(B41&gt;=$T$1,(F41-E41)&gt;($AB$1-$W$1)),"",IF(AND(D41&gt;=$Y$4,I41=$Z$8,S41=""),($AB$1-(F41-E41)),IF(AND(P41&lt;&gt;"",S41&lt;&gt;""),I41-$Z$8,IF(AND(P41&lt;&gt;"",D41&gt;$Y$4),$AB$1-(F41-E41),"")))))))))))))))))</f>
        <v>4.1666666666666609E-2</v>
      </c>
      <c r="M41" s="107" t="str">
        <f>IFERROR(IF(H41="","",IF(B41=VLOOKUP(B41,Feriados[],2,0),(H41-D41)-(G41-E41),"")),"")</f>
        <v/>
      </c>
      <c r="N41" s="38" t="str">
        <f t="shared" si="3"/>
        <v>Sex</v>
      </c>
      <c r="O41" s="112">
        <f t="shared" si="4"/>
        <v>4.1666666666666685E-2</v>
      </c>
      <c r="P41" s="113" t="str">
        <f>IF(B41=_xlfn.XLOOKUP(B41,Feriados[FE Oficial],Feriados[FE Talvez],"",0),"",IF(B41&lt;$T$1,"",IF(Q41="Consulta","",IF(Q41="Compensado","",IF(N41="Sáb","",IF(S41&lt;&gt;"",(S41-R41)-(($AB$1-O41)-(D41-$Z$4)),IF(O41&gt;$AB$1,O41-$AB$1,IF(C41&gt;$Z$4,C41-$Z$4,IF(AND(N41="Sex",G41&lt;&gt;"",H41=""),$Z$3-G41,IF(AND(G41&lt;&gt;"",H41=""),$Z$3-G41,IF(AND(N41="Sex",H41&lt;$Y$3),$Z$3-H41,IF(AND(N41&lt;&gt;"Sex",H41&gt;$AA$8),"",IF(AND(N41="Sex",H41&gt;$Z$8),"",IF(AND(N41&lt;&gt;"Sex",I41&gt;$Z$8),$Z$8-H41,IF(AND(N41&lt;&gt;"Sex",H41&lt;$Y$8),$Z$8-H41,"")))))))))))))))</f>
        <v/>
      </c>
      <c r="Q41" s="33"/>
      <c r="R41" s="33"/>
      <c r="S41" s="33"/>
    </row>
    <row r="42" spans="1:19" x14ac:dyDescent="0.25">
      <c r="A42" s="116" t="s">
        <v>190</v>
      </c>
      <c r="B42" s="32">
        <v>43813</v>
      </c>
      <c r="C42" s="39">
        <f t="shared" si="0"/>
        <v>0.33333333333333331</v>
      </c>
      <c r="D42" s="33">
        <v>0.33333333333333331</v>
      </c>
      <c r="E42" s="33">
        <v>0.47916666666666669</v>
      </c>
      <c r="F42" s="39">
        <f t="shared" si="1"/>
        <v>0.52083333333333337</v>
      </c>
      <c r="G42" s="33">
        <v>0.52083333333333337</v>
      </c>
      <c r="H42" s="33">
        <v>0.75</v>
      </c>
      <c r="I42" s="39">
        <f>IFERROR(IF(B42=VLOOKUP(B42,Feriados[],2,0),H42,IF(N42="Sáb",H42,IF(AND(B42&lt;$T$1,H42&lt;=$AA$3),$Z$3,IF(AND(N42="Sex",H42&gt;$AA$3),H42,IF(H42&lt;=$AA$3,$Z$3,IF(H42&lt;=$AA$8,$Z$8,H42)))))),IF(N42="Sáb",H42,IF(AND(B42&lt;$T$1,H42&lt;=$AA$3),$Z$3,IF(AND(N42="Sex",H42&gt;$AA$3),H42,IF(H42&lt;=$AA$3,$Z$3,IF(H42&lt;=$AA$8,$Z$8,H42))))))</f>
        <v>0.75</v>
      </c>
      <c r="J42" s="33">
        <f t="shared" si="2"/>
        <v>0.33333333333333331</v>
      </c>
      <c r="K42" s="33">
        <f>IFERROR(IF(H42="","",IF(B42=VLOOKUP(B42,Feriados[],2,0),(H42-D42)-(G42-E42),IF(D42&lt;=$Y$4,(I42-D42)-(G42-E42),(I42-C42)-(F42-E42)))),IF(AND(D42&lt;=$Y$4,F42-E42=$AB$1),(I42-D42)-(F42-E42),IF(D42&lt;$Y$4,(I42-D42)-(G42-E42),(I42-C42)-(F42-E42))))</f>
        <v>0.375</v>
      </c>
      <c r="L42" s="40">
        <f>IF(B42=_xlfn.XLOOKUP(B42,Feriados[FE Oficial],Feriados[FE Talvez],"",0),"",IF(Q42="Compensado","",IF(AND(N42="Sex",D42&lt;$Y$4),($Z$4-D42)+$AB$1-(F42-E42)+(I42-$Z$3),IF(AND(N42="Sex",I42&gt;$Z$3),($AB$1-(F42-E42))+(I42-$Z$3),IF(AND(N42="Sex",E42&lt;&gt;"",D42&lt;$Y$4),($Z$4-D42)+$AB$1-(F42-E42)+(I42-$Z$3),IF(N42="Sáb",(I42-D42)-(G42-E42)-(S42-R42),IF(AND(B42&lt;$T$1,I42&gt;$Z$3),H42-$Z$3,IF(D42&lt;$Y$4,($Z$4-D42)+($AB$1-(F42-E42))+(I42-$Z$8)+(S42-R42),IF(AND(S42&lt;&gt;"",D42&gt;$Z$4),(S42-R42)-($AB$1-(F42-E42)),IF(AND(S42&lt;&gt;"",D42&lt;$Y$4),(S42-R42)-($AB$1-(F42-E42)+($Z$4-D42)),IF(I42&gt;$Z$8,($AB$1-(F42-E42))+(I42-$Z$8),IF(AND(N42="Sex",(F42-E42)&lt;($AB$1-$W$1)),($AB$1-(F42-E42)),IF(AND(O42&gt;($AB$1-$W$1),D42&gt;$Z$4),"",IF(AND(B42&gt;=$T$1,(F42-E42)&gt;($AB$1-$W$1)),"",IF(AND(D42&gt;=$Y$4,I42=$Z$8,S42=""),($AB$1-(F42-E42)),IF(AND(P42&lt;&gt;"",S42&lt;&gt;""),I42-$Z$8,IF(AND(P42&lt;&gt;"",D42&gt;$Y$4),$AB$1-(F42-E42),"")))))))))))))))))</f>
        <v>4.1666666666666609E-2</v>
      </c>
      <c r="M42" s="107" t="str">
        <f>IFERROR(IF(H42="","",IF(B42=VLOOKUP(B42,Feriados[],2,0),(H42-D42)-(G42-E42),"")),"")</f>
        <v/>
      </c>
      <c r="N42" s="38" t="str">
        <f t="shared" si="3"/>
        <v>Sex</v>
      </c>
      <c r="O42" s="112">
        <f t="shared" si="4"/>
        <v>4.1666666666666685E-2</v>
      </c>
      <c r="P42" s="113" t="str">
        <f>IF(B42=_xlfn.XLOOKUP(B42,Feriados[FE Oficial],Feriados[FE Talvez],"",0),"",IF(B42&lt;$T$1,"",IF(Q42="Consulta","",IF(Q42="Compensado","",IF(N42="Sáb","",IF(S42&lt;&gt;"",(S42-R42)-(($AB$1-O42)-(D42-$Z$4)),IF(O42&gt;$AB$1,O42-$AB$1,IF(C42&gt;$Z$4,C42-$Z$4,IF(AND(N42="Sex",G42&lt;&gt;"",H42=""),$Z$3-G42,IF(AND(G42&lt;&gt;"",H42=""),$Z$3-G42,IF(AND(N42="Sex",H42&lt;$Y$3),$Z$3-H42,IF(AND(N42&lt;&gt;"Sex",H42&gt;$AA$8),"",IF(AND(N42="Sex",H42&gt;$Z$8),"",IF(AND(N42&lt;&gt;"Sex",I42&gt;$Z$8),$Z$8-H42,IF(AND(N42&lt;&gt;"Sex",H42&lt;$Y$8),$Z$8-H42,"")))))))))))))))</f>
        <v/>
      </c>
      <c r="Q42" s="33"/>
      <c r="R42" s="33"/>
      <c r="S42" s="33"/>
    </row>
    <row r="43" spans="1:19" x14ac:dyDescent="0.25">
      <c r="A43" s="116" t="s">
        <v>195</v>
      </c>
      <c r="B43" s="32">
        <v>43813</v>
      </c>
      <c r="C43" s="39">
        <f t="shared" si="0"/>
        <v>0.33333333333333331</v>
      </c>
      <c r="D43" s="33">
        <v>0.33333333333333331</v>
      </c>
      <c r="E43" s="33">
        <v>0.47916666666666669</v>
      </c>
      <c r="F43" s="39">
        <f t="shared" si="1"/>
        <v>0.52083333333333337</v>
      </c>
      <c r="G43" s="33">
        <v>0.52083333333333337</v>
      </c>
      <c r="H43" s="33">
        <v>0.75</v>
      </c>
      <c r="I43" s="39">
        <f>IFERROR(IF(B43=VLOOKUP(B43,Feriados[],2,0),H43,IF(N43="Sáb",H43,IF(AND(B43&lt;$T$1,H43&lt;=$AA$3),$Z$3,IF(AND(N43="Sex",H43&gt;$AA$3),H43,IF(H43&lt;=$AA$3,$Z$3,IF(H43&lt;=$AA$8,$Z$8,H43)))))),IF(N43="Sáb",H43,IF(AND(B43&lt;$T$1,H43&lt;=$AA$3),$Z$3,IF(AND(N43="Sex",H43&gt;$AA$3),H43,IF(H43&lt;=$AA$3,$Z$3,IF(H43&lt;=$AA$8,$Z$8,H43))))))</f>
        <v>0.75</v>
      </c>
      <c r="J43" s="33">
        <f t="shared" si="2"/>
        <v>0.33333333333333331</v>
      </c>
      <c r="K43" s="33">
        <f>IFERROR(IF(H43="","",IF(B43=VLOOKUP(B43,Feriados[],2,0),(H43-D43)-(G43-E43),IF(D43&lt;=$Y$4,(I43-D43)-(G43-E43),(I43-C43)-(F43-E43)))),IF(AND(D43&lt;=$Y$4,F43-E43=$AB$1),(I43-D43)-(F43-E43),IF(D43&lt;$Y$4,(I43-D43)-(G43-E43),(I43-C43)-(F43-E43))))</f>
        <v>0.375</v>
      </c>
      <c r="L43" s="40">
        <f>IF(B43=_xlfn.XLOOKUP(B43,Feriados[FE Oficial],Feriados[FE Talvez],"",0),"",IF(Q43="Compensado","",IF(AND(N43="Sex",D43&lt;$Y$4),($Z$4-D43)+$AB$1-(F43-E43)+(I43-$Z$3),IF(AND(N43="Sex",I43&gt;$Z$3),($AB$1-(F43-E43))+(I43-$Z$3),IF(AND(N43="Sex",E43&lt;&gt;"",D43&lt;$Y$4),($Z$4-D43)+$AB$1-(F43-E43)+(I43-$Z$3),IF(N43="Sáb",(I43-D43)-(G43-E43)-(S43-R43),IF(AND(B43&lt;$T$1,I43&gt;$Z$3),H43-$Z$3,IF(D43&lt;$Y$4,($Z$4-D43)+($AB$1-(F43-E43))+(I43-$Z$8)+(S43-R43),IF(AND(S43&lt;&gt;"",D43&gt;$Z$4),(S43-R43)-($AB$1-(F43-E43)),IF(AND(S43&lt;&gt;"",D43&lt;$Y$4),(S43-R43)-($AB$1-(F43-E43)+($Z$4-D43)),IF(I43&gt;$Z$8,($AB$1-(F43-E43))+(I43-$Z$8),IF(AND(N43="Sex",(F43-E43)&lt;($AB$1-$W$1)),($AB$1-(F43-E43)),IF(AND(O43&gt;($AB$1-$W$1),D43&gt;$Z$4),"",IF(AND(B43&gt;=$T$1,(F43-E43)&gt;($AB$1-$W$1)),"",IF(AND(D43&gt;=$Y$4,I43=$Z$8,S43=""),($AB$1-(F43-E43)),IF(AND(P43&lt;&gt;"",S43&lt;&gt;""),I43-$Z$8,IF(AND(P43&lt;&gt;"",D43&gt;$Y$4),$AB$1-(F43-E43),"")))))))))))))))))</f>
        <v>4.1666666666666609E-2</v>
      </c>
      <c r="M43" s="107" t="str">
        <f>IFERROR(IF(H43="","",IF(B43=VLOOKUP(B43,Feriados[],2,0),(H43-D43)-(G43-E43),"")),"")</f>
        <v/>
      </c>
      <c r="N43" s="38" t="str">
        <f t="shared" si="3"/>
        <v>Sex</v>
      </c>
      <c r="O43" s="112">
        <f t="shared" si="4"/>
        <v>4.1666666666666685E-2</v>
      </c>
      <c r="P43" s="113" t="str">
        <f>IF(B43=_xlfn.XLOOKUP(B43,Feriados[FE Oficial],Feriados[FE Talvez],"",0),"",IF(B43&lt;$T$1,"",IF(Q43="Consulta","",IF(Q43="Compensado","",IF(N43="Sáb","",IF(S43&lt;&gt;"",(S43-R43)-(($AB$1-O43)-(D43-$Z$4)),IF(O43&gt;$AB$1,O43-$AB$1,IF(C43&gt;$Z$4,C43-$Z$4,IF(AND(N43="Sex",G43&lt;&gt;"",H43=""),$Z$3-G43,IF(AND(G43&lt;&gt;"",H43=""),$Z$3-G43,IF(AND(N43="Sex",H43&lt;$Y$3),$Z$3-H43,IF(AND(N43&lt;&gt;"Sex",H43&gt;$AA$8),"",IF(AND(N43="Sex",H43&gt;$Z$8),"",IF(AND(N43&lt;&gt;"Sex",I43&gt;$Z$8),$Z$8-H43,IF(AND(N43&lt;&gt;"Sex",H43&lt;$Y$8),$Z$8-H43,"")))))))))))))))</f>
        <v/>
      </c>
      <c r="Q43" s="33"/>
      <c r="R43" s="33"/>
      <c r="S43" s="33"/>
    </row>
    <row r="44" spans="1:19" x14ac:dyDescent="0.25">
      <c r="A44" s="116" t="s">
        <v>194</v>
      </c>
      <c r="B44" s="32">
        <v>43813</v>
      </c>
      <c r="C44" s="39">
        <f t="shared" si="0"/>
        <v>0.33333333333333331</v>
      </c>
      <c r="D44" s="33">
        <v>0.29166666666666669</v>
      </c>
      <c r="E44" s="33">
        <v>0.5</v>
      </c>
      <c r="F44" s="39">
        <f t="shared" si="1"/>
        <v>0.54166666666666663</v>
      </c>
      <c r="G44" s="33">
        <v>0.54166666666666663</v>
      </c>
      <c r="H44" s="33">
        <v>0.75</v>
      </c>
      <c r="I44" s="39">
        <f>IFERROR(IF(B44=VLOOKUP(B44,Feriados[],2,0),H44,IF(N44="Sáb",H44,IF(AND(B44&lt;$T$1,H44&lt;=$AA$3),$Z$3,IF(AND(N44="Sex",H44&gt;$AA$3),H44,IF(H44&lt;=$AA$3,$Z$3,IF(H44&lt;=$AA$8,$Z$8,H44)))))),IF(N44="Sáb",H44,IF(AND(B44&lt;$T$1,H44&lt;=$AA$3),$Z$3,IF(AND(N44="Sex",H44&gt;$AA$3),H44,IF(H44&lt;=$AA$3,$Z$3,IF(H44&lt;=$AA$8,$Z$8,H44))))))</f>
        <v>0.75</v>
      </c>
      <c r="J44" s="33">
        <f t="shared" si="2"/>
        <v>0.33333333333333331</v>
      </c>
      <c r="K44" s="33">
        <f>IFERROR(IF(H44="","",IF(B44=VLOOKUP(B44,Feriados[],2,0),(H44-D44)-(G44-E44),IF(D44&lt;=$Y$4,(I44-D44)-(G44-E44),(I44-C44)-(F44-E44)))),IF(AND(D44&lt;=$Y$4,F44-E44=$AB$1),(I44-D44)-(F44-E44),IF(D44&lt;$Y$4,(I44-D44)-(G44-E44),(I44-C44)-(F44-E44))))</f>
        <v>0.41666666666666669</v>
      </c>
      <c r="L44" s="40">
        <f>IF(B44=_xlfn.XLOOKUP(B44,Feriados[FE Oficial],Feriados[FE Talvez],"",0),"",IF(Q44="Compensado","",IF(AND(N44="Sex",D44&lt;$Y$4),($Z$4-D44)+$AB$1-(F44-E44)+(I44-$Z$3),IF(AND(N44="Sex",I44&gt;$Z$3),($AB$1-(F44-E44))+(I44-$Z$3),IF(AND(N44="Sex",E44&lt;&gt;"",D44&lt;$Y$4),($Z$4-D44)+$AB$1-(F44-E44)+(I44-$Z$3),IF(N44="Sáb",(I44-D44)-(G44-E44)-(S44-R44),IF(AND(B44&lt;$T$1,I44&gt;$Z$3),H44-$Z$3,IF(D44&lt;$Y$4,($Z$4-D44)+($AB$1-(F44-E44))+(I44-$Z$8)+(S44-R44),IF(AND(S44&lt;&gt;"",D44&gt;$Z$4),(S44-R44)-($AB$1-(F44-E44)),IF(AND(S44&lt;&gt;"",D44&lt;$Y$4),(S44-R44)-($AB$1-(F44-E44)+($Z$4-D44)),IF(I44&gt;$Z$8,($AB$1-(F44-E44))+(I44-$Z$8),IF(AND(N44="Sex",(F44-E44)&lt;($AB$1-$W$1)),($AB$1-(F44-E44)),IF(AND(O44&gt;($AB$1-$W$1),D44&gt;$Z$4),"",IF(AND(B44&gt;=$T$1,(F44-E44)&gt;($AB$1-$W$1)),"",IF(AND(D44&gt;=$Y$4,I44=$Z$8,S44=""),($AB$1-(F44-E44)),IF(AND(P44&lt;&gt;"",S44&lt;&gt;""),I44-$Z$8,IF(AND(P44&lt;&gt;"",D44&gt;$Y$4),$AB$1-(F44-E44),"")))))))))))))))))</f>
        <v>8.3333333333333287E-2</v>
      </c>
      <c r="M44" s="107" t="str">
        <f>IFERROR(IF(H44="","",IF(B44=VLOOKUP(B44,Feriados[],2,0),(H44-D44)-(G44-E44),"")),"")</f>
        <v/>
      </c>
      <c r="N44" s="38" t="str">
        <f t="shared" si="3"/>
        <v>Sex</v>
      </c>
      <c r="O44" s="112">
        <f t="shared" si="4"/>
        <v>4.166666666666663E-2</v>
      </c>
      <c r="P44" s="113" t="str">
        <f>IF(B44=_xlfn.XLOOKUP(B44,Feriados[FE Oficial],Feriados[FE Talvez],"",0),"",IF(B44&lt;$T$1,"",IF(Q44="Consulta","",IF(Q44="Compensado","",IF(N44="Sáb","",IF(S44&lt;&gt;"",(S44-R44)-(($AB$1-O44)-(D44-$Z$4)),IF(O44&gt;$AB$1,O44-$AB$1,IF(C44&gt;$Z$4,C44-$Z$4,IF(AND(N44="Sex",G44&lt;&gt;"",H44=""),$Z$3-G44,IF(AND(G44&lt;&gt;"",H44=""),$Z$3-G44,IF(AND(N44="Sex",H44&lt;$Y$3),$Z$3-H44,IF(AND(N44&lt;&gt;"Sex",H44&gt;$AA$8),"",IF(AND(N44="Sex",H44&gt;$Z$8),"",IF(AND(N44&lt;&gt;"Sex",I44&gt;$Z$8),$Z$8-H44,IF(AND(N44&lt;&gt;"Sex",H44&lt;$Y$8),$Z$8-H44,"")))))))))))))))</f>
        <v/>
      </c>
      <c r="Q44" s="33"/>
      <c r="R44" s="33"/>
      <c r="S44" s="33"/>
    </row>
    <row r="45" spans="1:19" x14ac:dyDescent="0.25">
      <c r="A45" s="116" t="s">
        <v>189</v>
      </c>
      <c r="B45" s="32">
        <v>43813</v>
      </c>
      <c r="C45" s="39">
        <f t="shared" si="0"/>
        <v>0.33333333333333331</v>
      </c>
      <c r="D45" s="33">
        <v>0.29166666666666669</v>
      </c>
      <c r="E45" s="33">
        <v>0.5</v>
      </c>
      <c r="F45" s="39">
        <f t="shared" si="1"/>
        <v>0.54166666666666663</v>
      </c>
      <c r="G45" s="33">
        <v>0.54166666666666663</v>
      </c>
      <c r="H45" s="33">
        <v>0.75</v>
      </c>
      <c r="I45" s="39">
        <f>IFERROR(IF(B45=VLOOKUP(B45,Feriados[],2,0),H45,IF(N45="Sáb",H45,IF(AND(B45&lt;$T$1,H45&lt;=$AA$3),$Z$3,IF(AND(N45="Sex",H45&gt;$AA$3),H45,IF(H45&lt;=$AA$3,$Z$3,IF(H45&lt;=$AA$8,$Z$8,H45)))))),IF(N45="Sáb",H45,IF(AND(B45&lt;$T$1,H45&lt;=$AA$3),$Z$3,IF(AND(N45="Sex",H45&gt;$AA$3),H45,IF(H45&lt;=$AA$3,$Z$3,IF(H45&lt;=$AA$8,$Z$8,H45))))))</f>
        <v>0.75</v>
      </c>
      <c r="J45" s="33">
        <f t="shared" si="2"/>
        <v>0.33333333333333331</v>
      </c>
      <c r="K45" s="33">
        <f>IFERROR(IF(H45="","",IF(B45=VLOOKUP(B45,Feriados[],2,0),(H45-D45)-(G45-E45),IF(D45&lt;=$Y$4,(I45-D45)-(G45-E45),(I45-C45)-(F45-E45)))),IF(AND(D45&lt;=$Y$4,F45-E45=$AB$1),(I45-D45)-(F45-E45),IF(D45&lt;$Y$4,(I45-D45)-(G45-E45),(I45-C45)-(F45-E45))))</f>
        <v>0.41666666666666669</v>
      </c>
      <c r="L45" s="40">
        <f>IF(B45=_xlfn.XLOOKUP(B45,Feriados[FE Oficial],Feriados[FE Talvez],"",0),"",IF(Q45="Compensado","",IF(AND(N45="Sex",D45&lt;$Y$4),($Z$4-D45)+$AB$1-(F45-E45)+(I45-$Z$3),IF(AND(N45="Sex",I45&gt;$Z$3),($AB$1-(F45-E45))+(I45-$Z$3),IF(AND(N45="Sex",E45&lt;&gt;"",D45&lt;$Y$4),($Z$4-D45)+$AB$1-(F45-E45)+(I45-$Z$3),IF(N45="Sáb",(I45-D45)-(G45-E45)-(S45-R45),IF(AND(B45&lt;$T$1,I45&gt;$Z$3),H45-$Z$3,IF(D45&lt;$Y$4,($Z$4-D45)+($AB$1-(F45-E45))+(I45-$Z$8)+(S45-R45),IF(AND(S45&lt;&gt;"",D45&gt;$Z$4),(S45-R45)-($AB$1-(F45-E45)),IF(AND(S45&lt;&gt;"",D45&lt;$Y$4),(S45-R45)-($AB$1-(F45-E45)+($Z$4-D45)),IF(I45&gt;$Z$8,($AB$1-(F45-E45))+(I45-$Z$8),IF(AND(N45="Sex",(F45-E45)&lt;($AB$1-$W$1)),($AB$1-(F45-E45)),IF(AND(O45&gt;($AB$1-$W$1),D45&gt;$Z$4),"",IF(AND(B45&gt;=$T$1,(F45-E45)&gt;($AB$1-$W$1)),"",IF(AND(D45&gt;=$Y$4,I45=$Z$8,S45=""),($AB$1-(F45-E45)),IF(AND(P45&lt;&gt;"",S45&lt;&gt;""),I45-$Z$8,IF(AND(P45&lt;&gt;"",D45&gt;$Y$4),$AB$1-(F45-E45),"")))))))))))))))))</f>
        <v>8.3333333333333287E-2</v>
      </c>
      <c r="M45" s="107" t="str">
        <f>IFERROR(IF(H45="","",IF(B45=VLOOKUP(B45,Feriados[],2,0),(H45-D45)-(G45-E45),"")),"")</f>
        <v/>
      </c>
      <c r="N45" s="38" t="str">
        <f t="shared" si="3"/>
        <v>Sex</v>
      </c>
      <c r="O45" s="112">
        <f t="shared" si="4"/>
        <v>4.166666666666663E-2</v>
      </c>
      <c r="P45" s="113" t="str">
        <f>IF(B45=_xlfn.XLOOKUP(B45,Feriados[FE Oficial],Feriados[FE Talvez],"",0),"",IF(B45&lt;$T$1,"",IF(Q45="Consulta","",IF(Q45="Compensado","",IF(N45="Sáb","",IF(S45&lt;&gt;"",(S45-R45)-(($AB$1-O45)-(D45-$Z$4)),IF(O45&gt;$AB$1,O45-$AB$1,IF(C45&gt;$Z$4,C45-$Z$4,IF(AND(N45="Sex",G45&lt;&gt;"",H45=""),$Z$3-G45,IF(AND(G45&lt;&gt;"",H45=""),$Z$3-G45,IF(AND(N45="Sex",H45&lt;$Y$3),$Z$3-H45,IF(AND(N45&lt;&gt;"Sex",H45&gt;$AA$8),"",IF(AND(N45="Sex",H45&gt;$Z$8),"",IF(AND(N45&lt;&gt;"Sex",I45&gt;$Z$8),$Z$8-H45,IF(AND(N45&lt;&gt;"Sex",H45&lt;$Y$8),$Z$8-H45,"")))))))))))))))</f>
        <v/>
      </c>
      <c r="Q45" s="33"/>
      <c r="R45" s="33"/>
      <c r="S45" s="33"/>
    </row>
    <row r="46" spans="1:19" x14ac:dyDescent="0.25">
      <c r="A46" s="116" t="s">
        <v>175</v>
      </c>
      <c r="B46" s="32">
        <v>43814</v>
      </c>
      <c r="C46" s="39">
        <f t="shared" si="0"/>
        <v>0.33333333333333331</v>
      </c>
      <c r="D46" s="33">
        <v>0.3263888888888889</v>
      </c>
      <c r="E46" s="33">
        <v>0.50069444444444444</v>
      </c>
      <c r="F46" s="39">
        <f t="shared" si="1"/>
        <v>0.53680555555555554</v>
      </c>
      <c r="G46" s="33">
        <v>0.53680555555555554</v>
      </c>
      <c r="H46" s="33">
        <v>0.66666666666666663</v>
      </c>
      <c r="I46" s="39">
        <f>IFERROR(IF(B46=VLOOKUP(B46,Feriados[],2,0),H46,IF(N46="Sáb",H46,IF(AND(B46&lt;$T$1,H46&lt;=$AA$3),$Z$3,IF(AND(N46="Sex",H46&gt;$AA$3),H46,IF(H46&lt;=$AA$3,$Z$3,IF(H46&lt;=$AA$8,$Z$8,H46)))))),IF(N46="Sáb",H46,IF(AND(B46&lt;$T$1,H46&lt;=$AA$3),$Z$3,IF(AND(N46="Sex",H46&gt;$AA$3),H46,IF(H46&lt;=$AA$3,$Z$3,IF(H46&lt;=$AA$8,$Z$8,H46))))))</f>
        <v>0.66666666666666663</v>
      </c>
      <c r="J46" s="33">
        <f t="shared" si="2"/>
        <v>0.30416666666666664</v>
      </c>
      <c r="K46" s="33">
        <f>IFERROR(IF(H46="","",IF(B46=VLOOKUP(B46,Feriados[],2,0),(H46-D46)-(G46-E46),IF(D46&lt;=$Y$4,(I46-D46)-(G46-E46),(I46-C46)-(F46-E46)))),IF(AND(D46&lt;=$Y$4,F46-E46=$AB$1),(I46-D46)-(F46-E46),IF(D46&lt;$Y$4,(I46-D46)-(G46-E46),(I46-C46)-(F46-E46))))</f>
        <v>0.29722222222222222</v>
      </c>
      <c r="L46" s="40">
        <f>IF(B46=_xlfn.XLOOKUP(B46,Feriados[FE Oficial],Feriados[FE Talvez],"",0),"",IF(Q46="Compensado","",IF(AND(N46="Sex",D46&lt;$Y$4),($Z$4-D46)+$AB$1-(F46-E46)+(I46-$Z$3),IF(AND(N46="Sex",I46&gt;$Z$3),($AB$1-(F46-E46))+(I46-$Z$3),IF(AND(N46="Sex",E46&lt;&gt;"",D46&lt;$Y$4),($Z$4-D46)+$AB$1-(F46-E46)+(I46-$Z$3),IF(N46="Sáb",(I46-D46)-(G46-E46)-(S46-R46),IF(AND(B46&lt;$T$1,I46&gt;$Z$3),H46-$Z$3,IF(D46&lt;$Y$4,($Z$4-D46)+($AB$1-(F46-E46))+(I46-$Z$8)+(S46-R46),IF(AND(S46&lt;&gt;"",D46&gt;$Z$4),(S46-R46)-($AB$1-(F46-E46)),IF(AND(S46&lt;&gt;"",D46&lt;$Y$4),(S46-R46)-($AB$1-(F46-E46)+($Z$4-D46)),IF(I46&gt;$Z$8,($AB$1-(F46-E46))+(I46-$Z$8),IF(AND(N46="Sex",(F46-E46)&lt;($AB$1-$W$1)),($AB$1-(F46-E46)),IF(AND(O46&gt;($AB$1-$W$1),D46&gt;$Z$4),"",IF(AND(B46&gt;=$T$1,(F46-E46)&gt;($AB$1-$W$1)),"",IF(AND(D46&gt;=$Y$4,I46=$Z$8,S46=""),($AB$1-(F46-E46)),IF(AND(P46&lt;&gt;"",S46&lt;&gt;""),I46-$Z$8,IF(AND(P46&lt;&gt;"",D46&gt;$Y$4),$AB$1-(F46-E46),"")))))))))))))))))</f>
        <v>0.30416666666666664</v>
      </c>
      <c r="M46" s="107" t="str">
        <f>IFERROR(IF(H46="","",IF(B46=VLOOKUP(B46,Feriados[],2,0),(H46-D46)-(G46-E46),"")),"")</f>
        <v/>
      </c>
      <c r="N46" s="38" t="str">
        <f t="shared" si="3"/>
        <v>Sáb</v>
      </c>
      <c r="O46" s="112">
        <f t="shared" si="4"/>
        <v>3.6111111111111094E-2</v>
      </c>
      <c r="P46" s="113" t="str">
        <f>IF(B46=_xlfn.XLOOKUP(B46,Feriados[FE Oficial],Feriados[FE Talvez],"",0),"",IF(B46&lt;$T$1,"",IF(Q46="Consulta","",IF(Q46="Compensado","",IF(N46="Sáb","",IF(S46&lt;&gt;"",(S46-R46)-(($AB$1-O46)-(D46-$Z$4)),IF(O46&gt;$AB$1,O46-$AB$1,IF(C46&gt;$Z$4,C46-$Z$4,IF(AND(N46="Sex",G46&lt;&gt;"",H46=""),$Z$3-G46,IF(AND(G46&lt;&gt;"",H46=""),$Z$3-G46,IF(AND(N46="Sex",H46&lt;$Y$3),$Z$3-H46,IF(AND(N46&lt;&gt;"Sex",H46&gt;$AA$8),"",IF(AND(N46="Sex",H46&gt;$Z$8),"",IF(AND(N46&lt;&gt;"Sex",I46&gt;$Z$8),$Z$8-H46,IF(AND(N46&lt;&gt;"Sex",H46&lt;$Y$8),$Z$8-H46,"")))))))))))))))</f>
        <v/>
      </c>
      <c r="Q46" s="33"/>
      <c r="R46" s="33"/>
      <c r="S46" s="33"/>
    </row>
    <row r="47" spans="1:19" x14ac:dyDescent="0.25">
      <c r="A47" s="116" t="s">
        <v>190</v>
      </c>
      <c r="B47" s="32">
        <v>43814</v>
      </c>
      <c r="C47" s="39">
        <f t="shared" si="0"/>
        <v>0.33333333333333331</v>
      </c>
      <c r="D47" s="33">
        <v>0.33333333333333331</v>
      </c>
      <c r="E47" s="33">
        <v>0.50069444444444444</v>
      </c>
      <c r="F47" s="39">
        <f t="shared" si="1"/>
        <v>0.53611111111111109</v>
      </c>
      <c r="G47" s="33">
        <v>0.53611111111111109</v>
      </c>
      <c r="H47" s="33">
        <v>0.66666666666666663</v>
      </c>
      <c r="I47" s="39">
        <f>IFERROR(IF(B47=VLOOKUP(B47,Feriados[],2,0),H47,IF(N47="Sáb",H47,IF(AND(B47&lt;$T$1,H47&lt;=$AA$3),$Z$3,IF(AND(N47="Sex",H47&gt;$AA$3),H47,IF(H47&lt;=$AA$3,$Z$3,IF(H47&lt;=$AA$8,$Z$8,H47)))))),IF(N47="Sáb",H47,IF(AND(B47&lt;$T$1,H47&lt;=$AA$3),$Z$3,IF(AND(N47="Sex",H47&gt;$AA$3),H47,IF(H47&lt;=$AA$3,$Z$3,IF(H47&lt;=$AA$8,$Z$8,H47))))))</f>
        <v>0.66666666666666663</v>
      </c>
      <c r="J47" s="33">
        <f t="shared" si="2"/>
        <v>0.29791666666666666</v>
      </c>
      <c r="K47" s="33">
        <f>IFERROR(IF(H47="","",IF(B47=VLOOKUP(B47,Feriados[],2,0),(H47-D47)-(G47-E47),IF(D47&lt;=$Y$4,(I47-D47)-(G47-E47),(I47-C47)-(F47-E47)))),IF(AND(D47&lt;=$Y$4,F47-E47=$AB$1),(I47-D47)-(F47-E47),IF(D47&lt;$Y$4,(I47-D47)-(G47-E47),(I47-C47)-(F47-E47))))</f>
        <v>0.29791666666666666</v>
      </c>
      <c r="L47" s="40">
        <f>IF(B47=_xlfn.XLOOKUP(B47,Feriados[FE Oficial],Feriados[FE Talvez],"",0),"",IF(Q47="Compensado","",IF(AND(N47="Sex",D47&lt;$Y$4),($Z$4-D47)+$AB$1-(F47-E47)+(I47-$Z$3),IF(AND(N47="Sex",I47&gt;$Z$3),($AB$1-(F47-E47))+(I47-$Z$3),IF(AND(N47="Sex",E47&lt;&gt;"",D47&lt;$Y$4),($Z$4-D47)+$AB$1-(F47-E47)+(I47-$Z$3),IF(N47="Sáb",(I47-D47)-(G47-E47)-(S47-R47),IF(AND(B47&lt;$T$1,I47&gt;$Z$3),H47-$Z$3,IF(D47&lt;$Y$4,($Z$4-D47)+($AB$1-(F47-E47))+(I47-$Z$8)+(S47-R47),IF(AND(S47&lt;&gt;"",D47&gt;$Z$4),(S47-R47)-($AB$1-(F47-E47)),IF(AND(S47&lt;&gt;"",D47&lt;$Y$4),(S47-R47)-($AB$1-(F47-E47)+($Z$4-D47)),IF(I47&gt;$Z$8,($AB$1-(F47-E47))+(I47-$Z$8),IF(AND(N47="Sex",(F47-E47)&lt;($AB$1-$W$1)),($AB$1-(F47-E47)),IF(AND(O47&gt;($AB$1-$W$1),D47&gt;$Z$4),"",IF(AND(B47&gt;=$T$1,(F47-E47)&gt;($AB$1-$W$1)),"",IF(AND(D47&gt;=$Y$4,I47=$Z$8,S47=""),($AB$1-(F47-E47)),IF(AND(P47&lt;&gt;"",S47&lt;&gt;""),I47-$Z$8,IF(AND(P47&lt;&gt;"",D47&gt;$Y$4),$AB$1-(F47-E47),"")))))))))))))))))</f>
        <v>0.29791666666666666</v>
      </c>
      <c r="M47" s="107" t="str">
        <f>IFERROR(IF(H47="","",IF(B47=VLOOKUP(B47,Feriados[],2,0),(H47-D47)-(G47-E47),"")),"")</f>
        <v/>
      </c>
      <c r="N47" s="38" t="str">
        <f t="shared" si="3"/>
        <v>Sáb</v>
      </c>
      <c r="O47" s="112">
        <f t="shared" si="4"/>
        <v>3.5416666666666652E-2</v>
      </c>
      <c r="P47" s="113" t="str">
        <f>IF(B47=_xlfn.XLOOKUP(B47,Feriados[FE Oficial],Feriados[FE Talvez],"",0),"",IF(B47&lt;$T$1,"",IF(Q47="Consulta","",IF(Q47="Compensado","",IF(N47="Sáb","",IF(S47&lt;&gt;"",(S47-R47)-(($AB$1-O47)-(D47-$Z$4)),IF(O47&gt;$AB$1,O47-$AB$1,IF(C47&gt;$Z$4,C47-$Z$4,IF(AND(N47="Sex",G47&lt;&gt;"",H47=""),$Z$3-G47,IF(AND(G47&lt;&gt;"",H47=""),$Z$3-G47,IF(AND(N47="Sex",H47&lt;$Y$3),$Z$3-H47,IF(AND(N47&lt;&gt;"Sex",H47&gt;$AA$8),"",IF(AND(N47="Sex",H47&gt;$Z$8),"",IF(AND(N47&lt;&gt;"Sex",I47&gt;$Z$8),$Z$8-H47,IF(AND(N47&lt;&gt;"Sex",H47&lt;$Y$8),$Z$8-H47,"")))))))))))))))</f>
        <v/>
      </c>
      <c r="Q47" s="33"/>
      <c r="R47" s="33"/>
      <c r="S47" s="33"/>
    </row>
    <row r="48" spans="1:19" x14ac:dyDescent="0.25">
      <c r="A48" s="116" t="s">
        <v>194</v>
      </c>
      <c r="B48" s="32">
        <v>43814</v>
      </c>
      <c r="C48" s="39">
        <f t="shared" si="0"/>
        <v>0.33333333333333331</v>
      </c>
      <c r="D48" s="33">
        <v>0.29166666666666669</v>
      </c>
      <c r="E48" s="33">
        <v>0.5</v>
      </c>
      <c r="F48" s="39">
        <f t="shared" si="1"/>
        <v>0.54166666666666663</v>
      </c>
      <c r="G48" s="33">
        <v>0.54166666666666663</v>
      </c>
      <c r="H48" s="33">
        <v>0.66666666666666663</v>
      </c>
      <c r="I48" s="39">
        <f>IFERROR(IF(B48=VLOOKUP(B48,Feriados[],2,0),H48,IF(N48="Sáb",H48,IF(AND(B48&lt;$T$1,H48&lt;=$AA$3),$Z$3,IF(AND(N48="Sex",H48&gt;$AA$3),H48,IF(H48&lt;=$AA$3,$Z$3,IF(H48&lt;=$AA$8,$Z$8,H48)))))),IF(N48="Sáb",H48,IF(AND(B48&lt;$T$1,H48&lt;=$AA$3),$Z$3,IF(AND(N48="Sex",H48&gt;$AA$3),H48,IF(H48&lt;=$AA$3,$Z$3,IF(H48&lt;=$AA$8,$Z$8,H48))))))</f>
        <v>0.66666666666666663</v>
      </c>
      <c r="J48" s="33">
        <f t="shared" si="2"/>
        <v>0.33333333333333331</v>
      </c>
      <c r="K48" s="33">
        <f>IFERROR(IF(H48="","",IF(B48=VLOOKUP(B48,Feriados[],2,0),(H48-D48)-(G48-E48),IF(D48&lt;=$Y$4,(I48-D48)-(G48-E48),(I48-C48)-(F48-E48)))),IF(AND(D48&lt;=$Y$4,F48-E48=$AB$1),(I48-D48)-(F48-E48),IF(D48&lt;$Y$4,(I48-D48)-(G48-E48),(I48-C48)-(F48-E48))))</f>
        <v>0.33333333333333331</v>
      </c>
      <c r="L48" s="40">
        <f>IF(B48=_xlfn.XLOOKUP(B48,Feriados[FE Oficial],Feriados[FE Talvez],"",0),"",IF(Q48="Compensado","",IF(AND(N48="Sex",D48&lt;$Y$4),($Z$4-D48)+$AB$1-(F48-E48)+(I48-$Z$3),IF(AND(N48="Sex",I48&gt;$Z$3),($AB$1-(F48-E48))+(I48-$Z$3),IF(AND(N48="Sex",E48&lt;&gt;"",D48&lt;$Y$4),($Z$4-D48)+$AB$1-(F48-E48)+(I48-$Z$3),IF(N48="Sáb",(I48-D48)-(G48-E48)-(S48-R48),IF(AND(B48&lt;$T$1,I48&gt;$Z$3),H48-$Z$3,IF(D48&lt;$Y$4,($Z$4-D48)+($AB$1-(F48-E48))+(I48-$Z$8)+(S48-R48),IF(AND(S48&lt;&gt;"",D48&gt;$Z$4),(S48-R48)-($AB$1-(F48-E48)),IF(AND(S48&lt;&gt;"",D48&lt;$Y$4),(S48-R48)-($AB$1-(F48-E48)+($Z$4-D48)),IF(I48&gt;$Z$8,($AB$1-(F48-E48))+(I48-$Z$8),IF(AND(N48="Sex",(F48-E48)&lt;($AB$1-$W$1)),($AB$1-(F48-E48)),IF(AND(O48&gt;($AB$1-$W$1),D48&gt;$Z$4),"",IF(AND(B48&gt;=$T$1,(F48-E48)&gt;($AB$1-$W$1)),"",IF(AND(D48&gt;=$Y$4,I48=$Z$8,S48=""),($AB$1-(F48-E48)),IF(AND(P48&lt;&gt;"",S48&lt;&gt;""),I48-$Z$8,IF(AND(P48&lt;&gt;"",D48&gt;$Y$4),$AB$1-(F48-E48),"")))))))))))))))))</f>
        <v>0.33333333333333331</v>
      </c>
      <c r="M48" s="107" t="str">
        <f>IFERROR(IF(H48="","",IF(B48=VLOOKUP(B48,Feriados[],2,0),(H48-D48)-(G48-E48),"")),"")</f>
        <v/>
      </c>
      <c r="N48" s="38" t="str">
        <f t="shared" si="3"/>
        <v>Sáb</v>
      </c>
      <c r="O48" s="112">
        <f t="shared" si="4"/>
        <v>4.166666666666663E-2</v>
      </c>
      <c r="P48" s="113" t="str">
        <f>IF(B48=_xlfn.XLOOKUP(B48,Feriados[FE Oficial],Feriados[FE Talvez],"",0),"",IF(B48&lt;$T$1,"",IF(Q48="Consulta","",IF(Q48="Compensado","",IF(N48="Sáb","",IF(S48&lt;&gt;"",(S48-R48)-(($AB$1-O48)-(D48-$Z$4)),IF(O48&gt;$AB$1,O48-$AB$1,IF(C48&gt;$Z$4,C48-$Z$4,IF(AND(N48="Sex",G48&lt;&gt;"",H48=""),$Z$3-G48,IF(AND(G48&lt;&gt;"",H48=""),$Z$3-G48,IF(AND(N48="Sex",H48&lt;$Y$3),$Z$3-H48,IF(AND(N48&lt;&gt;"Sex",H48&gt;$AA$8),"",IF(AND(N48="Sex",H48&gt;$Z$8),"",IF(AND(N48&lt;&gt;"Sex",I48&gt;$Z$8),$Z$8-H48,IF(AND(N48&lt;&gt;"Sex",H48&lt;$Y$8),$Z$8-H48,"")))))))))))))))</f>
        <v/>
      </c>
      <c r="Q48" s="33"/>
      <c r="R48" s="33"/>
      <c r="S48" s="33"/>
    </row>
    <row r="49" spans="1:19" x14ac:dyDescent="0.25">
      <c r="A49" s="116" t="s">
        <v>194</v>
      </c>
      <c r="B49" s="32">
        <v>43815</v>
      </c>
      <c r="C49" s="39">
        <f t="shared" si="0"/>
        <v>0.33333333333333331</v>
      </c>
      <c r="D49" s="33">
        <v>0.29166666666666669</v>
      </c>
      <c r="E49" s="33">
        <v>0.49305555555555558</v>
      </c>
      <c r="F49" s="39">
        <f t="shared" si="1"/>
        <v>0.53472222222222221</v>
      </c>
      <c r="G49" s="33">
        <v>0.53472222222222221</v>
      </c>
      <c r="H49" s="33">
        <v>0.58333333333333337</v>
      </c>
      <c r="I49" s="39">
        <f>IFERROR(IF(B49=VLOOKUP(B49,Feriados[],2,0),H49,IF(N49="Sáb",H49,IF(AND(B49&lt;$T$1,H49&lt;=$AA$3),$Z$3,IF(AND(N49="Sex",H49&gt;$AA$3),H49,IF(H49&lt;=$AA$3,$Z$3,IF(H49&lt;=$AA$8,$Z$8,H49)))))),IF(N49="Sáb",H49,IF(AND(B49&lt;$T$1,H49&lt;=$AA$3),$Z$3,IF(AND(N49="Sex",H49&gt;$AA$3),H49,IF(H49&lt;=$AA$3,$Z$3,IF(H49&lt;=$AA$8,$Z$8,H49))))))</f>
        <v>0.58333333333333337</v>
      </c>
      <c r="J49" s="33">
        <f t="shared" si="2"/>
        <v>0.25000000000000006</v>
      </c>
      <c r="K49" s="33">
        <f>IFERROR(IF(H49="","",IF(B49=VLOOKUP(B49,Feriados[],2,0),(H49-D49)-(G49-E49),IF(D49&lt;=$Y$4,(I49-D49)-(G49-E49),(I49-C49)-(F49-E49)))),IF(AND(D49&lt;=$Y$4,F49-E49=$AB$1),(I49-D49)-(F49-E49),IF(D49&lt;$Y$4,(I49-D49)-(G49-E49),(I49-C49)-(F49-E49))))</f>
        <v>0.25000000000000006</v>
      </c>
      <c r="L49" s="40" t="str">
        <f>IF(B49=_xlfn.XLOOKUP(B49,Feriados[FE Oficial],Feriados[FE Talvez],"",0),"",IF(Q49="Compensado","",IF(AND(N49="Sex",D49&lt;$Y$4),($Z$4-D49)+$AB$1-(F49-E49)+(I49-$Z$3),IF(AND(N49="Sex",I49&gt;$Z$3),($AB$1-(F49-E49))+(I49-$Z$3),IF(AND(N49="Sex",E49&lt;&gt;"",D49&lt;$Y$4),($Z$4-D49)+$AB$1-(F49-E49)+(I49-$Z$3),IF(N49="Sáb",(I49-D49)-(G49-E49)-(S49-R49),IF(AND(B49&lt;$T$1,I49&gt;$Z$3),H49-$Z$3,IF(D49&lt;$Y$4,($Z$4-D49)+($AB$1-(F49-E49))+(I49-$Z$8)+(S49-R49),IF(AND(S49&lt;&gt;"",D49&gt;$Z$4),(S49-R49)-($AB$1-(F49-E49)),IF(AND(S49&lt;&gt;"",D49&lt;$Y$4),(S49-R49)-($AB$1-(F49-E49)+($Z$4-D49)),IF(I49&gt;$Z$8,($AB$1-(F49-E49))+(I49-$Z$8),IF(AND(N49="Sex",(F49-E49)&lt;($AB$1-$W$1)),($AB$1-(F49-E49)),IF(AND(O49&gt;($AB$1-$W$1),D49&gt;$Z$4),"",IF(AND(B49&gt;=$T$1,(F49-E49)&gt;($AB$1-$W$1)),"",IF(AND(D49&gt;=$Y$4,I49=$Z$8,S49=""),($AB$1-(F49-E49)),IF(AND(P49&lt;&gt;"",S49&lt;&gt;""),I49-$Z$8,IF(AND(P49&lt;&gt;"",D49&gt;$Y$4),$AB$1-(F49-E49),"")))))))))))))))))</f>
        <v/>
      </c>
      <c r="M49" s="107">
        <f>IFERROR(IF(H49="","",IF(B49=VLOOKUP(B49,Feriados[],2,0),(H49-D49)-(G49-E49),"")),"")</f>
        <v>0.25000000000000006</v>
      </c>
      <c r="N49" s="38" t="str">
        <f t="shared" si="3"/>
        <v>Dom</v>
      </c>
      <c r="O49" s="112">
        <f t="shared" si="4"/>
        <v>4.166666666666663E-2</v>
      </c>
      <c r="P49" s="113" t="str">
        <f>IF(B49=_xlfn.XLOOKUP(B49,Feriados[FE Oficial],Feriados[FE Talvez],"",0),"",IF(B49&lt;$T$1,"",IF(Q49="Consulta","",IF(Q49="Compensado","",IF(N49="Sáb","",IF(S49&lt;&gt;"",(S49-R49)-(($AB$1-O49)-(D49-$Z$4)),IF(O49&gt;$AB$1,O49-$AB$1,IF(C49&gt;$Z$4,C49-$Z$4,IF(AND(N49="Sex",G49&lt;&gt;"",H49=""),$Z$3-G49,IF(AND(G49&lt;&gt;"",H49=""),$Z$3-G49,IF(AND(N49="Sex",H49&lt;$Y$3),$Z$3-H49,IF(AND(N49&lt;&gt;"Sex",H49&gt;$AA$8),"",IF(AND(N49="Sex",H49&gt;$Z$8),"",IF(AND(N49&lt;&gt;"Sex",I49&gt;$Z$8),$Z$8-H49,IF(AND(N49&lt;&gt;"Sex",H49&lt;$Y$8),$Z$8-H49,"")))))))))))))))</f>
        <v/>
      </c>
      <c r="Q49" s="33"/>
      <c r="R49" s="33"/>
      <c r="S49" s="33"/>
    </row>
    <row r="50" spans="1:19" x14ac:dyDescent="0.25">
      <c r="A50" s="116" t="s">
        <v>190</v>
      </c>
      <c r="B50" s="32">
        <v>43816</v>
      </c>
      <c r="C50" s="39">
        <f t="shared" si="0"/>
        <v>0.33333333333333331</v>
      </c>
      <c r="D50" s="33">
        <v>0.32847222222222222</v>
      </c>
      <c r="E50" s="33">
        <v>0.47916666666666669</v>
      </c>
      <c r="F50" s="39">
        <f t="shared" si="1"/>
        <v>0.52083333333333337</v>
      </c>
      <c r="G50" s="33">
        <v>0.52083333333333337</v>
      </c>
      <c r="H50" s="33">
        <v>0.79166666666666663</v>
      </c>
      <c r="I50" s="39">
        <f>IFERROR(IF(B50=VLOOKUP(B50,Feriados[],2,0),H50,IF(N50="Sáb",H50,IF(AND(B50&lt;$T$1,H50&lt;=$AA$3),$Z$3,IF(AND(N50="Sex",H50&gt;$AA$3),H50,IF(H50&lt;=$AA$3,$Z$3,IF(H50&lt;=$AA$8,$Z$8,H50)))))),IF(N50="Sáb",H50,IF(AND(B50&lt;$T$1,H50&lt;=$AA$3),$Z$3,IF(AND(N50="Sex",H50&gt;$AA$3),H50,IF(H50&lt;=$AA$3,$Z$3,IF(H50&lt;=$AA$8,$Z$8,H50))))))</f>
        <v>0.79166666666666663</v>
      </c>
      <c r="J50" s="33">
        <f t="shared" si="2"/>
        <v>0.375</v>
      </c>
      <c r="K50" s="33">
        <f>IFERROR(IF(H50="","",IF(B50=VLOOKUP(B50,Feriados[],2,0),(H50-D50)-(G50-E50),IF(D50&lt;=$Y$4,(I50-D50)-(G50-E50),(I50-C50)-(F50-E50)))),IF(AND(D50&lt;=$Y$4,F50-E50=$AB$1),(I50-D50)-(F50-E50),IF(D50&lt;$Y$4,(I50-D50)-(G50-E50),(I50-C50)-(F50-E50))))</f>
        <v>0.41666666666666663</v>
      </c>
      <c r="L50" s="40">
        <f>IF(B50=_xlfn.XLOOKUP(B50,Feriados[FE Oficial],Feriados[FE Talvez],"",0),"",IF(Q50="Compensado","",IF(AND(N50="Sex",D50&lt;$Y$4),($Z$4-D50)+$AB$1-(F50-E50)+(I50-$Z$3),IF(AND(N50="Sex",I50&gt;$Z$3),($AB$1-(F50-E50))+(I50-$Z$3),IF(AND(N50="Sex",E50&lt;&gt;"",D50&lt;$Y$4),($Z$4-D50)+$AB$1-(F50-E50)+(I50-$Z$3),IF(N50="Sáb",(I50-D50)-(G50-E50)-(S50-R50),IF(AND(B50&lt;$T$1,I50&gt;$Z$3),H50-$Z$3,IF(D50&lt;$Y$4,($Z$4-D50)+($AB$1-(F50-E50))+(I50-$Z$8)+(S50-R50),IF(AND(S50&lt;&gt;"",D50&gt;$Z$4),(S50-R50)-($AB$1-(F50-E50)),IF(AND(S50&lt;&gt;"",D50&lt;$Y$4),(S50-R50)-($AB$1-(F50-E50)+($Z$4-D50)),IF(I50&gt;$Z$8,($AB$1-(F50-E50))+(I50-$Z$8),IF(AND(N50="Sex",(F50-E50)&lt;($AB$1-$W$1)),($AB$1-(F50-E50)),IF(AND(O50&gt;($AB$1-$W$1),D50&gt;$Z$4),"",IF(AND(B50&gt;=$T$1,(F50-E50)&gt;($AB$1-$W$1)),"",IF(AND(D50&gt;=$Y$4,I50=$Z$8,S50=""),($AB$1-(F50-E50)),IF(AND(P50&lt;&gt;"",S50&lt;&gt;""),I50-$Z$8,IF(AND(P50&lt;&gt;"",D50&gt;$Y$4),$AB$1-(F50-E50),"")))))))))))))))))</f>
        <v>4.1666666666666609E-2</v>
      </c>
      <c r="M50" s="107" t="str">
        <f>IFERROR(IF(H50="","",IF(B50=VLOOKUP(B50,Feriados[],2,0),(H50-D50)-(G50-E50),"")),"")</f>
        <v/>
      </c>
      <c r="N50" s="38" t="str">
        <f t="shared" si="3"/>
        <v>Seg</v>
      </c>
      <c r="O50" s="112">
        <f t="shared" si="4"/>
        <v>4.1666666666666685E-2</v>
      </c>
      <c r="P50" s="113" t="str">
        <f>IF(B50=_xlfn.XLOOKUP(B50,Feriados[FE Oficial],Feriados[FE Talvez],"",0),"",IF(B50&lt;$T$1,"",IF(Q50="Consulta","",IF(Q50="Compensado","",IF(N50="Sáb","",IF(S50&lt;&gt;"",(S50-R50)-(($AB$1-O50)-(D50-$Z$4)),IF(O50&gt;$AB$1,O50-$AB$1,IF(C50&gt;$Z$4,C50-$Z$4,IF(AND(N50="Sex",G50&lt;&gt;"",H50=""),$Z$3-G50,IF(AND(G50&lt;&gt;"",H50=""),$Z$3-G50,IF(AND(N50="Sex",H50&lt;$Y$3),$Z$3-H50,IF(AND(N50&lt;&gt;"Sex",H50&gt;$AA$8),"",IF(AND(N50="Sex",H50&gt;$Z$8),"",IF(AND(N50&lt;&gt;"Sex",I50&gt;$Z$8),$Z$8-H50,IF(AND(N50&lt;&gt;"Sex",H50&lt;$Y$8),$Z$8-H50,"")))))))))))))))</f>
        <v/>
      </c>
      <c r="Q50" s="33"/>
      <c r="R50" s="33"/>
      <c r="S50" s="33"/>
    </row>
    <row r="51" spans="1:19" x14ac:dyDescent="0.25">
      <c r="A51" s="116" t="s">
        <v>175</v>
      </c>
      <c r="B51" s="32">
        <v>43816</v>
      </c>
      <c r="C51" s="39">
        <f t="shared" si="0"/>
        <v>0.33333333333333331</v>
      </c>
      <c r="D51" s="33">
        <v>0.33333333333333331</v>
      </c>
      <c r="E51" s="33">
        <v>0.5</v>
      </c>
      <c r="F51" s="39">
        <f t="shared" si="1"/>
        <v>0.54166666666666663</v>
      </c>
      <c r="G51" s="33">
        <v>0.54166666666666663</v>
      </c>
      <c r="H51" s="33">
        <v>0.81944444444444453</v>
      </c>
      <c r="I51" s="39">
        <f>IFERROR(IF(B51=VLOOKUP(B51,Feriados[],2,0),H51,IF(N51="Sáb",H51,IF(AND(B51&lt;$T$1,H51&lt;=$AA$3),$Z$3,IF(AND(N51="Sex",H51&gt;$AA$3),H51,IF(H51&lt;=$AA$3,$Z$3,IF(H51&lt;=$AA$8,$Z$8,H51)))))),IF(N51="Sáb",H51,IF(AND(B51&lt;$T$1,H51&lt;=$AA$3),$Z$3,IF(AND(N51="Sex",H51&gt;$AA$3),H51,IF(H51&lt;=$AA$3,$Z$3,IF(H51&lt;=$AA$8,$Z$8,H51))))))</f>
        <v>0.81944444444444453</v>
      </c>
      <c r="J51" s="33">
        <f t="shared" si="2"/>
        <v>0.375</v>
      </c>
      <c r="K51" s="33">
        <f>IFERROR(IF(H51="","",IF(B51=VLOOKUP(B51,Feriados[],2,0),(H51-D51)-(G51-E51),IF(D51&lt;=$Y$4,(I51-D51)-(G51-E51),(I51-C51)-(F51-E51)))),IF(AND(D51&lt;=$Y$4,F51-E51=$AB$1),(I51-D51)-(F51-E51),IF(D51&lt;$Y$4,(I51-D51)-(G51-E51),(I51-C51)-(F51-E51))))</f>
        <v>0.44444444444444459</v>
      </c>
      <c r="L51" s="40">
        <f>IF(B51=_xlfn.XLOOKUP(B51,Feriados[FE Oficial],Feriados[FE Talvez],"",0),"",IF(Q51="Compensado","",IF(AND(N51="Sex",D51&lt;$Y$4),($Z$4-D51)+$AB$1-(F51-E51)+(I51-$Z$3),IF(AND(N51="Sex",I51&gt;$Z$3),($AB$1-(F51-E51))+(I51-$Z$3),IF(AND(N51="Sex",E51&lt;&gt;"",D51&lt;$Y$4),($Z$4-D51)+$AB$1-(F51-E51)+(I51-$Z$3),IF(N51="Sáb",(I51-D51)-(G51-E51)-(S51-R51),IF(AND(B51&lt;$T$1,I51&gt;$Z$3),H51-$Z$3,IF(D51&lt;$Y$4,($Z$4-D51)+($AB$1-(F51-E51))+(I51-$Z$8)+(S51-R51),IF(AND(S51&lt;&gt;"",D51&gt;$Z$4),(S51-R51)-($AB$1-(F51-E51)),IF(AND(S51&lt;&gt;"",D51&lt;$Y$4),(S51-R51)-($AB$1-(F51-E51)+($Z$4-D51)),IF(I51&gt;$Z$8,($AB$1-(F51-E51))+(I51-$Z$8),IF(AND(N51="Sex",(F51-E51)&lt;($AB$1-$W$1)),($AB$1-(F51-E51)),IF(AND(O51&gt;($AB$1-$W$1),D51&gt;$Z$4),"",IF(AND(B51&gt;=$T$1,(F51-E51)&gt;($AB$1-$W$1)),"",IF(AND(D51&gt;=$Y$4,I51=$Z$8,S51=""),($AB$1-(F51-E51)),IF(AND(P51&lt;&gt;"",S51&lt;&gt;""),I51-$Z$8,IF(AND(P51&lt;&gt;"",D51&gt;$Y$4),$AB$1-(F51-E51),"")))))))))))))))))</f>
        <v>6.9444444444444559E-2</v>
      </c>
      <c r="M51" s="107" t="str">
        <f>IFERROR(IF(H51="","",IF(B51=VLOOKUP(B51,Feriados[],2,0),(H51-D51)-(G51-E51),"")),"")</f>
        <v/>
      </c>
      <c r="N51" s="38" t="str">
        <f t="shared" si="3"/>
        <v>Seg</v>
      </c>
      <c r="O51" s="112">
        <f t="shared" si="4"/>
        <v>4.166666666666663E-2</v>
      </c>
      <c r="P51" s="113" t="str">
        <f>IF(B51=_xlfn.XLOOKUP(B51,Feriados[FE Oficial],Feriados[FE Talvez],"",0),"",IF(B51&lt;$T$1,"",IF(Q51="Consulta","",IF(Q51="Compensado","",IF(N51="Sáb","",IF(S51&lt;&gt;"",(S51-R51)-(($AB$1-O51)-(D51-$Z$4)),IF(O51&gt;$AB$1,O51-$AB$1,IF(C51&gt;$Z$4,C51-$Z$4,IF(AND(N51="Sex",G51&lt;&gt;"",H51=""),$Z$3-G51,IF(AND(G51&lt;&gt;"",H51=""),$Z$3-G51,IF(AND(N51="Sex",H51&lt;$Y$3),$Z$3-H51,IF(AND(N51&lt;&gt;"Sex",H51&gt;$AA$8),"",IF(AND(N51="Sex",H51&gt;$Z$8),"",IF(AND(N51&lt;&gt;"Sex",I51&gt;$Z$8),$Z$8-H51,IF(AND(N51&lt;&gt;"Sex",H51&lt;$Y$8),$Z$8-H51,"")))))))))))))))</f>
        <v/>
      </c>
      <c r="Q51" s="33"/>
      <c r="R51" s="33"/>
      <c r="S51" s="33"/>
    </row>
    <row r="52" spans="1:19" x14ac:dyDescent="0.25">
      <c r="A52" s="116" t="s">
        <v>197</v>
      </c>
      <c r="B52" s="32">
        <v>43816</v>
      </c>
      <c r="C52" s="39">
        <f t="shared" si="0"/>
        <v>0.33333333333333331</v>
      </c>
      <c r="D52" s="33">
        <v>0.33333333333333331</v>
      </c>
      <c r="E52" s="33">
        <v>0.52083333333333337</v>
      </c>
      <c r="F52" s="39">
        <f t="shared" si="1"/>
        <v>0.5625</v>
      </c>
      <c r="G52" s="33">
        <v>0.5625</v>
      </c>
      <c r="H52" s="33">
        <v>0.75</v>
      </c>
      <c r="I52" s="39">
        <f>IFERROR(IF(B52=VLOOKUP(B52,Feriados[],2,0),H52,IF(N52="Sáb",H52,IF(AND(B52&lt;$T$1,H52&lt;=$AA$3),$Z$3,IF(AND(N52="Sex",H52&gt;$AA$3),H52,IF(H52&lt;=$AA$3,$Z$3,IF(H52&lt;=$AA$8,$Z$8,H52)))))),IF(N52="Sáb",H52,IF(AND(B52&lt;$T$1,H52&lt;=$AA$3),$Z$3,IF(AND(N52="Sex",H52&gt;$AA$3),H52,IF(H52&lt;=$AA$3,$Z$3,IF(H52&lt;=$AA$8,$Z$8,H52))))))</f>
        <v>0.75</v>
      </c>
      <c r="J52" s="33">
        <f t="shared" si="2"/>
        <v>0.37500000000000006</v>
      </c>
      <c r="K52" s="33">
        <f>IFERROR(IF(H52="","",IF(B52=VLOOKUP(B52,Feriados[],2,0),(H52-D52)-(G52-E52),IF(D52&lt;=$Y$4,(I52-D52)-(G52-E52),(I52-C52)-(F52-E52)))),IF(AND(D52&lt;=$Y$4,F52-E52=$AB$1),(I52-D52)-(F52-E52),IF(D52&lt;$Y$4,(I52-D52)-(G52-E52),(I52-C52)-(F52-E52))))</f>
        <v>0.37500000000000006</v>
      </c>
      <c r="L52" s="40" t="str">
        <f>IF(B52=_xlfn.XLOOKUP(B52,Feriados[FE Oficial],Feriados[FE Talvez],"",0),"",IF(Q52="Compensado","",IF(AND(N52="Sex",D52&lt;$Y$4),($Z$4-D52)+$AB$1-(F52-E52)+(I52-$Z$3),IF(AND(N52="Sex",I52&gt;$Z$3),($AB$1-(F52-E52))+(I52-$Z$3),IF(AND(N52="Sex",E52&lt;&gt;"",D52&lt;$Y$4),($Z$4-D52)+$AB$1-(F52-E52)+(I52-$Z$3),IF(N52="Sáb",(I52-D52)-(G52-E52)-(S52-R52),IF(AND(B52&lt;$T$1,I52&gt;$Z$3),H52-$Z$3,IF(D52&lt;$Y$4,($Z$4-D52)+($AB$1-(F52-E52))+(I52-$Z$8)+(S52-R52),IF(AND(S52&lt;&gt;"",D52&gt;$Z$4),(S52-R52)-($AB$1-(F52-E52)),IF(AND(S52&lt;&gt;"",D52&lt;$Y$4),(S52-R52)-($AB$1-(F52-E52)+($Z$4-D52)),IF(I52&gt;$Z$8,($AB$1-(F52-E52))+(I52-$Z$8),IF(AND(N52="Sex",(F52-E52)&lt;($AB$1-$W$1)),($AB$1-(F52-E52)),IF(AND(O52&gt;($AB$1-$W$1),D52&gt;$Z$4),"",IF(AND(B52&gt;=$T$1,(F52-E52)&gt;($AB$1-$W$1)),"",IF(AND(D52&gt;=$Y$4,I52=$Z$8,S52=""),($AB$1-(F52-E52)),IF(AND(P52&lt;&gt;"",S52&lt;&gt;""),I52-$Z$8,IF(AND(P52&lt;&gt;"",D52&gt;$Y$4),$AB$1-(F52-E52),"")))))))))))))))))</f>
        <v/>
      </c>
      <c r="M52" s="107" t="str">
        <f>IFERROR(IF(H52="","",IF(B52=VLOOKUP(B52,Feriados[],2,0),(H52-D52)-(G52-E52),"")),"")</f>
        <v/>
      </c>
      <c r="N52" s="38" t="str">
        <f t="shared" si="3"/>
        <v>Seg</v>
      </c>
      <c r="O52" s="112">
        <f t="shared" si="4"/>
        <v>4.166666666666663E-2</v>
      </c>
      <c r="P52" s="113" t="str">
        <f>IF(B52=_xlfn.XLOOKUP(B52,Feriados[FE Oficial],Feriados[FE Talvez],"",0),"",IF(B52&lt;$T$1,"",IF(Q52="Consulta","",IF(Q52="Compensado","",IF(N52="Sáb","",IF(S52&lt;&gt;"",(S52-R52)-(($AB$1-O52)-(D52-$Z$4)),IF(O52&gt;$AB$1,O52-$AB$1,IF(C52&gt;$Z$4,C52-$Z$4,IF(AND(N52="Sex",G52&lt;&gt;"",H52=""),$Z$3-G52,IF(AND(G52&lt;&gt;"",H52=""),$Z$3-G52,IF(AND(N52="Sex",H52&lt;$Y$3),$Z$3-H52,IF(AND(N52&lt;&gt;"Sex",H52&gt;$AA$8),"",IF(AND(N52="Sex",H52&gt;$Z$8),"",IF(AND(N52&lt;&gt;"Sex",I52&gt;$Z$8),$Z$8-H52,IF(AND(N52&lt;&gt;"Sex",H52&lt;$Y$8),$Z$8-H52,"")))))))))))))))</f>
        <v/>
      </c>
      <c r="Q52" s="33"/>
      <c r="R52" s="33"/>
      <c r="S52" s="33"/>
    </row>
    <row r="53" spans="1:19" x14ac:dyDescent="0.25">
      <c r="A53" s="116" t="s">
        <v>194</v>
      </c>
      <c r="B53" s="32">
        <v>43816</v>
      </c>
      <c r="C53" s="39">
        <f t="shared" si="0"/>
        <v>0.33333333333333331</v>
      </c>
      <c r="D53" s="33">
        <v>0.29166666666666669</v>
      </c>
      <c r="E53" s="33">
        <v>0.52500000000000002</v>
      </c>
      <c r="F53" s="39">
        <f t="shared" si="1"/>
        <v>0.55277777777777781</v>
      </c>
      <c r="G53" s="33">
        <v>0.55277777777777781</v>
      </c>
      <c r="H53" s="33">
        <v>0.79861111111111116</v>
      </c>
      <c r="I53" s="39">
        <f>IFERROR(IF(B53=VLOOKUP(B53,Feriados[],2,0),H53,IF(N53="Sáb",H53,IF(AND(B53&lt;$T$1,H53&lt;=$AA$3),$Z$3,IF(AND(N53="Sex",H53&gt;$AA$3),H53,IF(H53&lt;=$AA$3,$Z$3,IF(H53&lt;=$AA$8,$Z$8,H53)))))),IF(N53="Sáb",H53,IF(AND(B53&lt;$T$1,H53&lt;=$AA$3),$Z$3,IF(AND(N53="Sex",H53&gt;$AA$3),H53,IF(H53&lt;=$AA$3,$Z$3,IF(H53&lt;=$AA$8,$Z$8,H53))))))</f>
        <v>0.79861111111111116</v>
      </c>
      <c r="J53" s="33">
        <f t="shared" si="2"/>
        <v>0.375</v>
      </c>
      <c r="K53" s="33">
        <f>IFERROR(IF(H53="","",IF(B53=VLOOKUP(B53,Feriados[],2,0),(H53-D53)-(G53-E53),IF(D53&lt;=$Y$4,(I53-D53)-(G53-E53),(I53-C53)-(F53-E53)))),IF(AND(D53&lt;=$Y$4,F53-E53=$AB$1),(I53-D53)-(F53-E53),IF(D53&lt;$Y$4,(I53-D53)-(G53-E53),(I53-C53)-(F53-E53))))</f>
        <v>0.47916666666666663</v>
      </c>
      <c r="L53" s="40">
        <f>IF(B53=_xlfn.XLOOKUP(B53,Feriados[FE Oficial],Feriados[FE Talvez],"",0),"",IF(Q53="Compensado","",IF(AND(N53="Sex",D53&lt;$Y$4),($Z$4-D53)+$AB$1-(F53-E53)+(I53-$Z$3),IF(AND(N53="Sex",I53&gt;$Z$3),($AB$1-(F53-E53))+(I53-$Z$3),IF(AND(N53="Sex",E53&lt;&gt;"",D53&lt;$Y$4),($Z$4-D53)+$AB$1-(F53-E53)+(I53-$Z$3),IF(N53="Sáb",(I53-D53)-(G53-E53)-(S53-R53),IF(AND(B53&lt;$T$1,I53&gt;$Z$3),H53-$Z$3,IF(D53&lt;$Y$4,($Z$4-D53)+($AB$1-(F53-E53))+(I53-$Z$8)+(S53-R53),IF(AND(S53&lt;&gt;"",D53&gt;$Z$4),(S53-R53)-($AB$1-(F53-E53)),IF(AND(S53&lt;&gt;"",D53&lt;$Y$4),(S53-R53)-($AB$1-(F53-E53)+($Z$4-D53)),IF(I53&gt;$Z$8,($AB$1-(F53-E53))+(I53-$Z$8),IF(AND(N53="Sex",(F53-E53)&lt;($AB$1-$W$1)),($AB$1-(F53-E53)),IF(AND(O53&gt;($AB$1-$W$1),D53&gt;$Z$4),"",IF(AND(B53&gt;=$T$1,(F53-E53)&gt;($AB$1-$W$1)),"",IF(AND(D53&gt;=$Y$4,I53=$Z$8,S53=""),($AB$1-(F53-E53)),IF(AND(P53&lt;&gt;"",S53&lt;&gt;""),I53-$Z$8,IF(AND(P53&lt;&gt;"",D53&gt;$Y$4),$AB$1-(F53-E53),"")))))))))))))))))</f>
        <v>0.10416666666666666</v>
      </c>
      <c r="M53" s="107" t="str">
        <f>IFERROR(IF(H53="","",IF(B53=VLOOKUP(B53,Feriados[],2,0),(H53-D53)-(G53-E53),"")),"")</f>
        <v/>
      </c>
      <c r="N53" s="38" t="str">
        <f t="shared" si="3"/>
        <v>Seg</v>
      </c>
      <c r="O53" s="112">
        <f t="shared" si="4"/>
        <v>2.777777777777779E-2</v>
      </c>
      <c r="P53" s="113" t="str">
        <f>IF(B53=_xlfn.XLOOKUP(B53,Feriados[FE Oficial],Feriados[FE Talvez],"",0),"",IF(B53&lt;$T$1,"",IF(Q53="Consulta","",IF(Q53="Compensado","",IF(N53="Sáb","",IF(S53&lt;&gt;"",(S53-R53)-(($AB$1-O53)-(D53-$Z$4)),IF(O53&gt;$AB$1,O53-$AB$1,IF(C53&gt;$Z$4,C53-$Z$4,IF(AND(N53="Sex",G53&lt;&gt;"",H53=""),$Z$3-G53,IF(AND(G53&lt;&gt;"",H53=""),$Z$3-G53,IF(AND(N53="Sex",H53&lt;$Y$3),$Z$3-H53,IF(AND(N53&lt;&gt;"Sex",H53&gt;$AA$8),"",IF(AND(N53="Sex",H53&gt;$Z$8),"",IF(AND(N53&lt;&gt;"Sex",I53&gt;$Z$8),$Z$8-H53,IF(AND(N53&lt;&gt;"Sex",H53&lt;$Y$8),$Z$8-H53,"")))))))))))))))</f>
        <v/>
      </c>
      <c r="Q53" s="33"/>
      <c r="R53" s="33"/>
      <c r="S53" s="33"/>
    </row>
    <row r="54" spans="1:19" x14ac:dyDescent="0.25">
      <c r="A54" s="116" t="s">
        <v>182</v>
      </c>
      <c r="B54" s="32">
        <v>43816</v>
      </c>
      <c r="C54" s="39">
        <f t="shared" si="0"/>
        <v>0.33333333333333331</v>
      </c>
      <c r="D54" s="33">
        <v>0.33333333333333331</v>
      </c>
      <c r="E54" s="33">
        <v>0.49861111111111112</v>
      </c>
      <c r="F54" s="39">
        <f t="shared" si="1"/>
        <v>0.54027777777777775</v>
      </c>
      <c r="G54" s="33">
        <v>0.54166666666666663</v>
      </c>
      <c r="H54" s="33">
        <v>0.81944444444444453</v>
      </c>
      <c r="I54" s="39">
        <f>IFERROR(IF(B54=VLOOKUP(B54,Feriados[],2,0),H54,IF(N54="Sáb",H54,IF(AND(B54&lt;$T$1,H54&lt;=$AA$3),$Z$3,IF(AND(N54="Sex",H54&gt;$AA$3),H54,IF(H54&lt;=$AA$3,$Z$3,IF(H54&lt;=$AA$8,$Z$8,H54)))))),IF(N54="Sáb",H54,IF(AND(B54&lt;$T$1,H54&lt;=$AA$3),$Z$3,IF(AND(N54="Sex",H54&gt;$AA$3),H54,IF(H54&lt;=$AA$3,$Z$3,IF(H54&lt;=$AA$8,$Z$8,H54))))))</f>
        <v>0.81944444444444453</v>
      </c>
      <c r="J54" s="33">
        <f t="shared" si="2"/>
        <v>0.375</v>
      </c>
      <c r="K54" s="33">
        <f>IFERROR(IF(H54="","",IF(B54=VLOOKUP(B54,Feriados[],2,0),(H54-D54)-(G54-E54),IF(D54&lt;=$Y$4,(I54-D54)-(G54-E54),(I54-C54)-(F54-E54)))),IF(AND(D54&lt;=$Y$4,F54-E54=$AB$1),(I54-D54)-(F54-E54),IF(D54&lt;$Y$4,(I54-D54)-(G54-E54),(I54-C54)-(F54-E54))))</f>
        <v>0.44444444444444459</v>
      </c>
      <c r="L54" s="40">
        <f>IF(B54=_xlfn.XLOOKUP(B54,Feriados[FE Oficial],Feriados[FE Talvez],"",0),"",IF(Q54="Compensado","",IF(AND(N54="Sex",D54&lt;$Y$4),($Z$4-D54)+$AB$1-(F54-E54)+(I54-$Z$3),IF(AND(N54="Sex",I54&gt;$Z$3),($AB$1-(F54-E54))+(I54-$Z$3),IF(AND(N54="Sex",E54&lt;&gt;"",D54&lt;$Y$4),($Z$4-D54)+$AB$1-(F54-E54)+(I54-$Z$3),IF(N54="Sáb",(I54-D54)-(G54-E54)-(S54-R54),IF(AND(B54&lt;$T$1,I54&gt;$Z$3),H54-$Z$3,IF(D54&lt;$Y$4,($Z$4-D54)+($AB$1-(F54-E54))+(I54-$Z$8)+(S54-R54),IF(AND(S54&lt;&gt;"",D54&gt;$Z$4),(S54-R54)-($AB$1-(F54-E54)),IF(AND(S54&lt;&gt;"",D54&lt;$Y$4),(S54-R54)-($AB$1-(F54-E54)+($Z$4-D54)),IF(I54&gt;$Z$8,($AB$1-(F54-E54))+(I54-$Z$8),IF(AND(N54="Sex",(F54-E54)&lt;($AB$1-$W$1)),($AB$1-(F54-E54)),IF(AND(O54&gt;($AB$1-$W$1),D54&gt;$Z$4),"",IF(AND(B54&gt;=$T$1,(F54-E54)&gt;($AB$1-$W$1)),"",IF(AND(D54&gt;=$Y$4,I54=$Z$8,S54=""),($AB$1-(F54-E54)),IF(AND(P54&lt;&gt;"",S54&lt;&gt;""),I54-$Z$8,IF(AND(P54&lt;&gt;"",D54&gt;$Y$4),$AB$1-(F54-E54),"")))))))))))))))))</f>
        <v>6.9444444444444559E-2</v>
      </c>
      <c r="M54" s="107" t="str">
        <f>IFERROR(IF(H54="","",IF(B54=VLOOKUP(B54,Feriados[],2,0),(H54-D54)-(G54-E54),"")),"")</f>
        <v/>
      </c>
      <c r="N54" s="38" t="str">
        <f t="shared" si="3"/>
        <v>Seg</v>
      </c>
      <c r="O54" s="112">
        <f t="shared" si="4"/>
        <v>4.3055555555555514E-2</v>
      </c>
      <c r="P54" s="113">
        <f>IF(B54=_xlfn.XLOOKUP(B54,Feriados[FE Oficial],Feriados[FE Talvez],"",0),"",IF(B54&lt;$T$1,"",IF(Q54="Consulta","",IF(Q54="Compensado","",IF(N54="Sáb","",IF(S54&lt;&gt;"",(S54-R54)-(($AB$1-O54)-(D54-$Z$4)),IF(O54&gt;$AB$1,O54-$AB$1,IF(C54&gt;$Z$4,C54-$Z$4,IF(AND(N54="Sex",G54&lt;&gt;"",H54=""),$Z$3-G54,IF(AND(G54&lt;&gt;"",H54=""),$Z$3-G54,IF(AND(N54="Sex",H54&lt;$Y$3),$Z$3-H54,IF(AND(N54&lt;&gt;"Sex",H54&gt;$AA$8),"",IF(AND(N54="Sex",H54&gt;$Z$8),"",IF(AND(N54&lt;&gt;"Sex",I54&gt;$Z$8),$Z$8-H54,IF(AND(N54&lt;&gt;"Sex",H54&lt;$Y$8),$Z$8-H54,"")))))))))))))))</f>
        <v>1.3888888888888493E-3</v>
      </c>
      <c r="Q54" s="33"/>
      <c r="R54" s="33"/>
      <c r="S54" s="33"/>
    </row>
    <row r="55" spans="1:19" x14ac:dyDescent="0.25">
      <c r="A55" s="116" t="s">
        <v>191</v>
      </c>
      <c r="B55" s="32">
        <v>43816</v>
      </c>
      <c r="C55" s="39">
        <f t="shared" si="0"/>
        <v>0.33333333333333331</v>
      </c>
      <c r="D55" s="33">
        <v>0.33333333333333331</v>
      </c>
      <c r="E55" s="33">
        <v>0.47916666666666669</v>
      </c>
      <c r="F55" s="39">
        <f t="shared" si="1"/>
        <v>0.52083333333333337</v>
      </c>
      <c r="G55" s="33">
        <v>0.52083333333333337</v>
      </c>
      <c r="H55" s="33">
        <v>0.75</v>
      </c>
      <c r="I55" s="39">
        <f>IFERROR(IF(B55=VLOOKUP(B55,Feriados[],2,0),H55,IF(N55="Sáb",H55,IF(AND(B55&lt;$T$1,H55&lt;=$AA$3),$Z$3,IF(AND(N55="Sex",H55&gt;$AA$3),H55,IF(H55&lt;=$AA$3,$Z$3,IF(H55&lt;=$AA$8,$Z$8,H55)))))),IF(N55="Sáb",H55,IF(AND(B55&lt;$T$1,H55&lt;=$AA$3),$Z$3,IF(AND(N55="Sex",H55&gt;$AA$3),H55,IF(H55&lt;=$AA$3,$Z$3,IF(H55&lt;=$AA$8,$Z$8,H55))))))</f>
        <v>0.75</v>
      </c>
      <c r="J55" s="33">
        <f t="shared" si="2"/>
        <v>0.375</v>
      </c>
      <c r="K55" s="33">
        <f>IFERROR(IF(H55="","",IF(B55=VLOOKUP(B55,Feriados[],2,0),(H55-D55)-(G55-E55),IF(D55&lt;=$Y$4,(I55-D55)-(G55-E55),(I55-C55)-(F55-E55)))),IF(AND(D55&lt;=$Y$4,F55-E55=$AB$1),(I55-D55)-(F55-E55),IF(D55&lt;$Y$4,(I55-D55)-(G55-E55),(I55-C55)-(F55-E55))))</f>
        <v>0.375</v>
      </c>
      <c r="L55" s="40" t="str">
        <f>IF(B55=_xlfn.XLOOKUP(B55,Feriados[FE Oficial],Feriados[FE Talvez],"",0),"",IF(Q55="Compensado","",IF(AND(N55="Sex",D55&lt;$Y$4),($Z$4-D55)+$AB$1-(F55-E55)+(I55-$Z$3),IF(AND(N55="Sex",I55&gt;$Z$3),($AB$1-(F55-E55))+(I55-$Z$3),IF(AND(N55="Sex",E55&lt;&gt;"",D55&lt;$Y$4),($Z$4-D55)+$AB$1-(F55-E55)+(I55-$Z$3),IF(N55="Sáb",(I55-D55)-(G55-E55)-(S55-R55),IF(AND(B55&lt;$T$1,I55&gt;$Z$3),H55-$Z$3,IF(D55&lt;$Y$4,($Z$4-D55)+($AB$1-(F55-E55))+(I55-$Z$8)+(S55-R55),IF(AND(S55&lt;&gt;"",D55&gt;$Z$4),(S55-R55)-($AB$1-(F55-E55)),IF(AND(S55&lt;&gt;"",D55&lt;$Y$4),(S55-R55)-($AB$1-(F55-E55)+($Z$4-D55)),IF(I55&gt;$Z$8,($AB$1-(F55-E55))+(I55-$Z$8),IF(AND(N55="Sex",(F55-E55)&lt;($AB$1-$W$1)),($AB$1-(F55-E55)),IF(AND(O55&gt;($AB$1-$W$1),D55&gt;$Z$4),"",IF(AND(B55&gt;=$T$1,(F55-E55)&gt;($AB$1-$W$1)),"",IF(AND(D55&gt;=$Y$4,I55=$Z$8,S55=""),($AB$1-(F55-E55)),IF(AND(P55&lt;&gt;"",S55&lt;&gt;""),I55-$Z$8,IF(AND(P55&lt;&gt;"",D55&gt;$Y$4),$AB$1-(F55-E55),"")))))))))))))))))</f>
        <v/>
      </c>
      <c r="M55" s="107" t="str">
        <f>IFERROR(IF(H55="","",IF(B55=VLOOKUP(B55,Feriados[],2,0),(H55-D55)-(G55-E55),"")),"")</f>
        <v/>
      </c>
      <c r="N55" s="38" t="str">
        <f t="shared" si="3"/>
        <v>Seg</v>
      </c>
      <c r="O55" s="112">
        <f t="shared" si="4"/>
        <v>4.1666666666666685E-2</v>
      </c>
      <c r="P55" s="113" t="str">
        <f>IF(B55=_xlfn.XLOOKUP(B55,Feriados[FE Oficial],Feriados[FE Talvez],"",0),"",IF(B55&lt;$T$1,"",IF(Q55="Consulta","",IF(Q55="Compensado","",IF(N55="Sáb","",IF(S55&lt;&gt;"",(S55-R55)-(($AB$1-O55)-(D55-$Z$4)),IF(O55&gt;$AB$1,O55-$AB$1,IF(C55&gt;$Z$4,C55-$Z$4,IF(AND(N55="Sex",G55&lt;&gt;"",H55=""),$Z$3-G55,IF(AND(G55&lt;&gt;"",H55=""),$Z$3-G55,IF(AND(N55="Sex",H55&lt;$Y$3),$Z$3-H55,IF(AND(N55&lt;&gt;"Sex",H55&gt;$AA$8),"",IF(AND(N55="Sex",H55&gt;$Z$8),"",IF(AND(N55&lt;&gt;"Sex",I55&gt;$Z$8),$Z$8-H55,IF(AND(N55&lt;&gt;"Sex",H55&lt;$Y$8),$Z$8-H55,"")))))))))))))))</f>
        <v/>
      </c>
      <c r="Q55" s="33"/>
      <c r="R55" s="33"/>
      <c r="S55" s="33"/>
    </row>
    <row r="56" spans="1:19" x14ac:dyDescent="0.25">
      <c r="A56" s="116" t="s">
        <v>190</v>
      </c>
      <c r="B56" s="32">
        <v>43817</v>
      </c>
      <c r="C56" s="39">
        <f t="shared" si="0"/>
        <v>0.33333333333333331</v>
      </c>
      <c r="D56" s="33">
        <v>0.33194444444444443</v>
      </c>
      <c r="E56" s="33">
        <v>0.47916666666666669</v>
      </c>
      <c r="F56" s="39">
        <f t="shared" si="1"/>
        <v>0.52083333333333337</v>
      </c>
      <c r="G56" s="33">
        <v>0.51736111111111105</v>
      </c>
      <c r="H56" s="33">
        <v>0.81736111111111109</v>
      </c>
      <c r="I56" s="39">
        <f>IFERROR(IF(B56=VLOOKUP(B56,Feriados[],2,0),H56,IF(N56="Sáb",H56,IF(AND(B56&lt;$T$1,H56&lt;=$AA$3),$Z$3,IF(AND(N56="Sex",H56&gt;$AA$3),H56,IF(H56&lt;=$AA$3,$Z$3,IF(H56&lt;=$AA$8,$Z$8,H56)))))),IF(N56="Sáb",H56,IF(AND(B56&lt;$T$1,H56&lt;=$AA$3),$Z$3,IF(AND(N56="Sex",H56&gt;$AA$3),H56,IF(H56&lt;=$AA$3,$Z$3,IF(H56&lt;=$AA$8,$Z$8,H56))))))</f>
        <v>0.81736111111111109</v>
      </c>
      <c r="J56" s="33">
        <f t="shared" si="2"/>
        <v>0.375</v>
      </c>
      <c r="K56" s="33">
        <f>IFERROR(IF(H56="","",IF(B56=VLOOKUP(B56,Feriados[],2,0),(H56-D56)-(G56-E56),IF(D56&lt;=$Y$4,(I56-D56)-(G56-E56),(I56-C56)-(F56-E56)))),IF(AND(D56&lt;=$Y$4,F56-E56=$AB$1),(I56-D56)-(F56-E56),IF(D56&lt;$Y$4,(I56-D56)-(G56-E56),(I56-C56)-(F56-E56))))</f>
        <v>0.44236111111111109</v>
      </c>
      <c r="L56" s="40">
        <f>IF(B56=_xlfn.XLOOKUP(B56,Feriados[FE Oficial],Feriados[FE Talvez],"",0),"",IF(Q56="Compensado","",IF(AND(N56="Sex",D56&lt;$Y$4),($Z$4-D56)+$AB$1-(F56-E56)+(I56-$Z$3),IF(AND(N56="Sex",I56&gt;$Z$3),($AB$1-(F56-E56))+(I56-$Z$3),IF(AND(N56="Sex",E56&lt;&gt;"",D56&lt;$Y$4),($Z$4-D56)+$AB$1-(F56-E56)+(I56-$Z$3),IF(N56="Sáb",(I56-D56)-(G56-E56)-(S56-R56),IF(AND(B56&lt;$T$1,I56&gt;$Z$3),H56-$Z$3,IF(D56&lt;$Y$4,($Z$4-D56)+($AB$1-(F56-E56))+(I56-$Z$8)+(S56-R56),IF(AND(S56&lt;&gt;"",D56&gt;$Z$4),(S56-R56)-($AB$1-(F56-E56)),IF(AND(S56&lt;&gt;"",D56&lt;$Y$4),(S56-R56)-($AB$1-(F56-E56)+($Z$4-D56)),IF(I56&gt;$Z$8,($AB$1-(F56-E56))+(I56-$Z$8),IF(AND(N56="Sex",(F56-E56)&lt;($AB$1-$W$1)),($AB$1-(F56-E56)),IF(AND(O56&gt;($AB$1-$W$1),D56&gt;$Z$4),"",IF(AND(B56&gt;=$T$1,(F56-E56)&gt;($AB$1-$W$1)),"",IF(AND(D56&gt;=$Y$4,I56=$Z$8,S56=""),($AB$1-(F56-E56)),IF(AND(P56&lt;&gt;"",S56&lt;&gt;""),I56-$Z$8,IF(AND(P56&lt;&gt;"",D56&gt;$Y$4),$AB$1-(F56-E56),"")))))))))))))))))</f>
        <v>6.7361111111111066E-2</v>
      </c>
      <c r="M56" s="107" t="str">
        <f>IFERROR(IF(H56="","",IF(B56=VLOOKUP(B56,Feriados[],2,0),(H56-D56)-(G56-E56),"")),"")</f>
        <v/>
      </c>
      <c r="N56" s="38" t="str">
        <f t="shared" si="3"/>
        <v>Ter</v>
      </c>
      <c r="O56" s="112">
        <f t="shared" si="4"/>
        <v>3.8194444444444364E-2</v>
      </c>
      <c r="P56" s="113" t="str">
        <f>IF(B56=_xlfn.XLOOKUP(B56,Feriados[FE Oficial],Feriados[FE Talvez],"",0),"",IF(B56&lt;$T$1,"",IF(Q56="Consulta","",IF(Q56="Compensado","",IF(N56="Sáb","",IF(S56&lt;&gt;"",(S56-R56)-(($AB$1-O56)-(D56-$Z$4)),IF(O56&gt;$AB$1,O56-$AB$1,IF(C56&gt;$Z$4,C56-$Z$4,IF(AND(N56="Sex",G56&lt;&gt;"",H56=""),$Z$3-G56,IF(AND(G56&lt;&gt;"",H56=""),$Z$3-G56,IF(AND(N56="Sex",H56&lt;$Y$3),$Z$3-H56,IF(AND(N56&lt;&gt;"Sex",H56&gt;$AA$8),"",IF(AND(N56="Sex",H56&gt;$Z$8),"",IF(AND(N56&lt;&gt;"Sex",I56&gt;$Z$8),$Z$8-H56,IF(AND(N56&lt;&gt;"Sex",H56&lt;$Y$8),$Z$8-H56,"")))))))))))))))</f>
        <v/>
      </c>
      <c r="Q56" s="33"/>
      <c r="R56" s="33"/>
      <c r="S56" s="33"/>
    </row>
    <row r="57" spans="1:19" x14ac:dyDescent="0.25">
      <c r="A57" s="116" t="s">
        <v>182</v>
      </c>
      <c r="B57" s="32">
        <v>43817</v>
      </c>
      <c r="C57" s="39">
        <f t="shared" si="0"/>
        <v>0.33333333333333331</v>
      </c>
      <c r="D57" s="33">
        <v>0.33333333333333331</v>
      </c>
      <c r="E57" s="33">
        <v>0.5</v>
      </c>
      <c r="F57" s="39">
        <f t="shared" si="1"/>
        <v>0.54166666666666663</v>
      </c>
      <c r="G57" s="33">
        <v>0.54166666666666663</v>
      </c>
      <c r="H57" s="33">
        <v>0.8340277777777777</v>
      </c>
      <c r="I57" s="39">
        <f>IFERROR(IF(B57=VLOOKUP(B57,Feriados[],2,0),H57,IF(N57="Sáb",H57,IF(AND(B57&lt;$T$1,H57&lt;=$AA$3),$Z$3,IF(AND(N57="Sex",H57&gt;$AA$3),H57,IF(H57&lt;=$AA$3,$Z$3,IF(H57&lt;=$AA$8,$Z$8,H57)))))),IF(N57="Sáb",H57,IF(AND(B57&lt;$T$1,H57&lt;=$AA$3),$Z$3,IF(AND(N57="Sex",H57&gt;$AA$3),H57,IF(H57&lt;=$AA$3,$Z$3,IF(H57&lt;=$AA$8,$Z$8,H57))))))</f>
        <v>0.8340277777777777</v>
      </c>
      <c r="J57" s="33">
        <f t="shared" si="2"/>
        <v>0.375</v>
      </c>
      <c r="K57" s="33">
        <f>IFERROR(IF(H57="","",IF(B57=VLOOKUP(B57,Feriados[],2,0),(H57-D57)-(G57-E57),IF(D57&lt;=$Y$4,(I57-D57)-(G57-E57),(I57-C57)-(F57-E57)))),IF(AND(D57&lt;=$Y$4,F57-E57=$AB$1),(I57-D57)-(F57-E57),IF(D57&lt;$Y$4,(I57-D57)-(G57-E57),(I57-C57)-(F57-E57))))</f>
        <v>0.4590277777777777</v>
      </c>
      <c r="L57" s="40">
        <f>IF(B57=_xlfn.XLOOKUP(B57,Feriados[FE Oficial],Feriados[FE Talvez],"",0),"",IF(Q57="Compensado","",IF(AND(N57="Sex",D57&lt;$Y$4),($Z$4-D57)+$AB$1-(F57-E57)+(I57-$Z$3),IF(AND(N57="Sex",I57&gt;$Z$3),($AB$1-(F57-E57))+(I57-$Z$3),IF(AND(N57="Sex",E57&lt;&gt;"",D57&lt;$Y$4),($Z$4-D57)+$AB$1-(F57-E57)+(I57-$Z$3),IF(N57="Sáb",(I57-D57)-(G57-E57)-(S57-R57),IF(AND(B57&lt;$T$1,I57&gt;$Z$3),H57-$Z$3,IF(D57&lt;$Y$4,($Z$4-D57)+($AB$1-(F57-E57))+(I57-$Z$8)+(S57-R57),IF(AND(S57&lt;&gt;"",D57&gt;$Z$4),(S57-R57)-($AB$1-(F57-E57)),IF(AND(S57&lt;&gt;"",D57&lt;$Y$4),(S57-R57)-($AB$1-(F57-E57)+($Z$4-D57)),IF(I57&gt;$Z$8,($AB$1-(F57-E57))+(I57-$Z$8),IF(AND(N57="Sex",(F57-E57)&lt;($AB$1-$W$1)),($AB$1-(F57-E57)),IF(AND(O57&gt;($AB$1-$W$1),D57&gt;$Z$4),"",IF(AND(B57&gt;=$T$1,(F57-E57)&gt;($AB$1-$W$1)),"",IF(AND(D57&gt;=$Y$4,I57=$Z$8,S57=""),($AB$1-(F57-E57)),IF(AND(P57&lt;&gt;"",S57&lt;&gt;""),I57-$Z$8,IF(AND(P57&lt;&gt;"",D57&gt;$Y$4),$AB$1-(F57-E57),"")))))))))))))))))</f>
        <v>8.4027777777777729E-2</v>
      </c>
      <c r="M57" s="107" t="str">
        <f>IFERROR(IF(H57="","",IF(B57=VLOOKUP(B57,Feriados[],2,0),(H57-D57)-(G57-E57),"")),"")</f>
        <v/>
      </c>
      <c r="N57" s="38" t="str">
        <f t="shared" si="3"/>
        <v>Ter</v>
      </c>
      <c r="O57" s="112">
        <f t="shared" si="4"/>
        <v>4.166666666666663E-2</v>
      </c>
      <c r="P57" s="113" t="str">
        <f>IF(B57=_xlfn.XLOOKUP(B57,Feriados[FE Oficial],Feriados[FE Talvez],"",0),"",IF(B57&lt;$T$1,"",IF(Q57="Consulta","",IF(Q57="Compensado","",IF(N57="Sáb","",IF(S57&lt;&gt;"",(S57-R57)-(($AB$1-O57)-(D57-$Z$4)),IF(O57&gt;$AB$1,O57-$AB$1,IF(C57&gt;$Z$4,C57-$Z$4,IF(AND(N57="Sex",G57&lt;&gt;"",H57=""),$Z$3-G57,IF(AND(G57&lt;&gt;"",H57=""),$Z$3-G57,IF(AND(N57="Sex",H57&lt;$Y$3),$Z$3-H57,IF(AND(N57&lt;&gt;"Sex",H57&gt;$AA$8),"",IF(AND(N57="Sex",H57&gt;$Z$8),"",IF(AND(N57&lt;&gt;"Sex",I57&gt;$Z$8),$Z$8-H57,IF(AND(N57&lt;&gt;"Sex",H57&lt;$Y$8),$Z$8-H57,"")))))))))))))))</f>
        <v/>
      </c>
      <c r="Q57" s="33"/>
      <c r="R57" s="33"/>
      <c r="S57" s="33"/>
    </row>
    <row r="58" spans="1:19" x14ac:dyDescent="0.25">
      <c r="A58" s="116" t="s">
        <v>175</v>
      </c>
      <c r="B58" s="32">
        <v>43817</v>
      </c>
      <c r="C58" s="39">
        <f t="shared" si="0"/>
        <v>0.33333333333333331</v>
      </c>
      <c r="D58" s="33">
        <v>0.33333333333333331</v>
      </c>
      <c r="E58" s="33">
        <v>0.5</v>
      </c>
      <c r="F58" s="39">
        <f t="shared" si="1"/>
        <v>0.54166666666666663</v>
      </c>
      <c r="G58" s="33">
        <v>0.54166666666666663</v>
      </c>
      <c r="H58" s="33">
        <v>0.8340277777777777</v>
      </c>
      <c r="I58" s="39">
        <f>IFERROR(IF(B58=VLOOKUP(B58,Feriados[],2,0),H58,IF(N58="Sáb",H58,IF(AND(B58&lt;$T$1,H58&lt;=$AA$3),$Z$3,IF(AND(N58="Sex",H58&gt;$AA$3),H58,IF(H58&lt;=$AA$3,$Z$3,IF(H58&lt;=$AA$8,$Z$8,H58)))))),IF(N58="Sáb",H58,IF(AND(B58&lt;$T$1,H58&lt;=$AA$3),$Z$3,IF(AND(N58="Sex",H58&gt;$AA$3),H58,IF(H58&lt;=$AA$3,$Z$3,IF(H58&lt;=$AA$8,$Z$8,H58))))))</f>
        <v>0.8340277777777777</v>
      </c>
      <c r="J58" s="33">
        <f t="shared" si="2"/>
        <v>0.375</v>
      </c>
      <c r="K58" s="33">
        <f>IFERROR(IF(H58="","",IF(B58=VLOOKUP(B58,Feriados[],2,0),(H58-D58)-(G58-E58),IF(D58&lt;=$Y$4,(I58-D58)-(G58-E58),(I58-C58)-(F58-E58)))),IF(AND(D58&lt;=$Y$4,F58-E58=$AB$1),(I58-D58)-(F58-E58),IF(D58&lt;$Y$4,(I58-D58)-(G58-E58),(I58-C58)-(F58-E58))))</f>
        <v>0.4590277777777777</v>
      </c>
      <c r="L58" s="40">
        <f>IF(B58=_xlfn.XLOOKUP(B58,Feriados[FE Oficial],Feriados[FE Talvez],"",0),"",IF(Q58="Compensado","",IF(AND(N58="Sex",D58&lt;$Y$4),($Z$4-D58)+$AB$1-(F58-E58)+(I58-$Z$3),IF(AND(N58="Sex",I58&gt;$Z$3),($AB$1-(F58-E58))+(I58-$Z$3),IF(AND(N58="Sex",E58&lt;&gt;"",D58&lt;$Y$4),($Z$4-D58)+$AB$1-(F58-E58)+(I58-$Z$3),IF(N58="Sáb",(I58-D58)-(G58-E58)-(S58-R58),IF(AND(B58&lt;$T$1,I58&gt;$Z$3),H58-$Z$3,IF(D58&lt;$Y$4,($Z$4-D58)+($AB$1-(F58-E58))+(I58-$Z$8)+(S58-R58),IF(AND(S58&lt;&gt;"",D58&gt;$Z$4),(S58-R58)-($AB$1-(F58-E58)),IF(AND(S58&lt;&gt;"",D58&lt;$Y$4),(S58-R58)-($AB$1-(F58-E58)+($Z$4-D58)),IF(I58&gt;$Z$8,($AB$1-(F58-E58))+(I58-$Z$8),IF(AND(N58="Sex",(F58-E58)&lt;($AB$1-$W$1)),($AB$1-(F58-E58)),IF(AND(O58&gt;($AB$1-$W$1),D58&gt;$Z$4),"",IF(AND(B58&gt;=$T$1,(F58-E58)&gt;($AB$1-$W$1)),"",IF(AND(D58&gt;=$Y$4,I58=$Z$8,S58=""),($AB$1-(F58-E58)),IF(AND(P58&lt;&gt;"",S58&lt;&gt;""),I58-$Z$8,IF(AND(P58&lt;&gt;"",D58&gt;$Y$4),$AB$1-(F58-E58),"")))))))))))))))))</f>
        <v>8.4027777777777729E-2</v>
      </c>
      <c r="M58" s="107" t="str">
        <f>IFERROR(IF(H58="","",IF(B58=VLOOKUP(B58,Feriados[],2,0),(H58-D58)-(G58-E58),"")),"")</f>
        <v/>
      </c>
      <c r="N58" s="38" t="str">
        <f t="shared" si="3"/>
        <v>Ter</v>
      </c>
      <c r="O58" s="112">
        <f t="shared" si="4"/>
        <v>4.166666666666663E-2</v>
      </c>
      <c r="P58" s="113" t="str">
        <f>IF(B58=_xlfn.XLOOKUP(B58,Feriados[FE Oficial],Feriados[FE Talvez],"",0),"",IF(B58&lt;$T$1,"",IF(Q58="Consulta","",IF(Q58="Compensado","",IF(N58="Sáb","",IF(S58&lt;&gt;"",(S58-R58)-(($AB$1-O58)-(D58-$Z$4)),IF(O58&gt;$AB$1,O58-$AB$1,IF(C58&gt;$Z$4,C58-$Z$4,IF(AND(N58="Sex",G58&lt;&gt;"",H58=""),$Z$3-G58,IF(AND(G58&lt;&gt;"",H58=""),$Z$3-G58,IF(AND(N58="Sex",H58&lt;$Y$3),$Z$3-H58,IF(AND(N58&lt;&gt;"Sex",H58&gt;$AA$8),"",IF(AND(N58="Sex",H58&gt;$Z$8),"",IF(AND(N58&lt;&gt;"Sex",I58&gt;$Z$8),$Z$8-H58,IF(AND(N58&lt;&gt;"Sex",H58&lt;$Y$8),$Z$8-H58,"")))))))))))))))</f>
        <v/>
      </c>
      <c r="Q58" s="33"/>
      <c r="R58" s="33"/>
      <c r="S58" s="33"/>
    </row>
    <row r="59" spans="1:19" x14ac:dyDescent="0.25">
      <c r="A59" s="116" t="s">
        <v>197</v>
      </c>
      <c r="B59" s="32">
        <v>43817</v>
      </c>
      <c r="C59" s="39">
        <f t="shared" si="0"/>
        <v>0.33333333333333331</v>
      </c>
      <c r="D59" s="33">
        <v>0.33333333333333331</v>
      </c>
      <c r="E59" s="33">
        <v>0.5</v>
      </c>
      <c r="F59" s="39">
        <f t="shared" si="1"/>
        <v>0.54166666666666663</v>
      </c>
      <c r="G59" s="33">
        <v>0.54166666666666663</v>
      </c>
      <c r="H59" s="33">
        <v>0.74722222222222223</v>
      </c>
      <c r="I59" s="39">
        <f>IFERROR(IF(B59=VLOOKUP(B59,Feriados[],2,0),H59,IF(N59="Sáb",H59,IF(AND(B59&lt;$T$1,H59&lt;=$AA$3),$Z$3,IF(AND(N59="Sex",H59&gt;$AA$3),H59,IF(H59&lt;=$AA$3,$Z$3,IF(H59&lt;=$AA$8,$Z$8,H59)))))),IF(N59="Sáb",H59,IF(AND(B59&lt;$T$1,H59&lt;=$AA$3),$Z$3,IF(AND(N59="Sex",H59&gt;$AA$3),H59,IF(H59&lt;=$AA$3,$Z$3,IF(H59&lt;=$AA$8,$Z$8,H59))))))</f>
        <v>0.75</v>
      </c>
      <c r="J59" s="33">
        <f t="shared" si="2"/>
        <v>0.37222222222222229</v>
      </c>
      <c r="K59" s="33">
        <f>IFERROR(IF(H59="","",IF(B59=VLOOKUP(B59,Feriados[],2,0),(H59-D59)-(G59-E59),IF(D59&lt;=$Y$4,(I59-D59)-(G59-E59),(I59-C59)-(F59-E59)))),IF(AND(D59&lt;=$Y$4,F59-E59=$AB$1),(I59-D59)-(F59-E59),IF(D59&lt;$Y$4,(I59-D59)-(G59-E59),(I59-C59)-(F59-E59))))</f>
        <v>0.37500000000000006</v>
      </c>
      <c r="L59" s="40" t="str">
        <f>IF(B59=_xlfn.XLOOKUP(B59,Feriados[FE Oficial],Feriados[FE Talvez],"",0),"",IF(Q59="Compensado","",IF(AND(N59="Sex",D59&lt;$Y$4),($Z$4-D59)+$AB$1-(F59-E59)+(I59-$Z$3),IF(AND(N59="Sex",I59&gt;$Z$3),($AB$1-(F59-E59))+(I59-$Z$3),IF(AND(N59="Sex",E59&lt;&gt;"",D59&lt;$Y$4),($Z$4-D59)+$AB$1-(F59-E59)+(I59-$Z$3),IF(N59="Sáb",(I59-D59)-(G59-E59)-(S59-R59),IF(AND(B59&lt;$T$1,I59&gt;$Z$3),H59-$Z$3,IF(D59&lt;$Y$4,($Z$4-D59)+($AB$1-(F59-E59))+(I59-$Z$8)+(S59-R59),IF(AND(S59&lt;&gt;"",D59&gt;$Z$4),(S59-R59)-($AB$1-(F59-E59)),IF(AND(S59&lt;&gt;"",D59&lt;$Y$4),(S59-R59)-($AB$1-(F59-E59)+($Z$4-D59)),IF(I59&gt;$Z$8,($AB$1-(F59-E59))+(I59-$Z$8),IF(AND(N59="Sex",(F59-E59)&lt;($AB$1-$W$1)),($AB$1-(F59-E59)),IF(AND(O59&gt;($AB$1-$W$1),D59&gt;$Z$4),"",IF(AND(B59&gt;=$T$1,(F59-E59)&gt;($AB$1-$W$1)),"",IF(AND(D59&gt;=$Y$4,I59=$Z$8,S59=""),($AB$1-(F59-E59)),IF(AND(P59&lt;&gt;"",S59&lt;&gt;""),I59-$Z$8,IF(AND(P59&lt;&gt;"",D59&gt;$Y$4),$AB$1-(F59-E59),"")))))))))))))))))</f>
        <v/>
      </c>
      <c r="M59" s="107" t="str">
        <f>IFERROR(IF(H59="","",IF(B59=VLOOKUP(B59,Feriados[],2,0),(H59-D59)-(G59-E59),"")),"")</f>
        <v/>
      </c>
      <c r="N59" s="38" t="str">
        <f t="shared" si="3"/>
        <v>Ter</v>
      </c>
      <c r="O59" s="112">
        <f t="shared" si="4"/>
        <v>4.166666666666663E-2</v>
      </c>
      <c r="P59" s="113" t="str">
        <f>IF(B59=_xlfn.XLOOKUP(B59,Feriados[FE Oficial],Feriados[FE Talvez],"",0),"",IF(B59&lt;$T$1,"",IF(Q59="Consulta","",IF(Q59="Compensado","",IF(N59="Sáb","",IF(S59&lt;&gt;"",(S59-R59)-(($AB$1-O59)-(D59-$Z$4)),IF(O59&gt;$AB$1,O59-$AB$1,IF(C59&gt;$Z$4,C59-$Z$4,IF(AND(N59="Sex",G59&lt;&gt;"",H59=""),$Z$3-G59,IF(AND(G59&lt;&gt;"",H59=""),$Z$3-G59,IF(AND(N59="Sex",H59&lt;$Y$3),$Z$3-H59,IF(AND(N59&lt;&gt;"Sex",H59&gt;$AA$8),"",IF(AND(N59="Sex",H59&gt;$Z$8),"",IF(AND(N59&lt;&gt;"Sex",I59&gt;$Z$8),$Z$8-H59,IF(AND(N59&lt;&gt;"Sex",H59&lt;$Y$8),$Z$8-H59,"")))))))))))))))</f>
        <v/>
      </c>
      <c r="Q59" s="33"/>
      <c r="R59" s="33"/>
      <c r="S59" s="33"/>
    </row>
    <row r="60" spans="1:19" x14ac:dyDescent="0.25">
      <c r="A60" s="116" t="s">
        <v>194</v>
      </c>
      <c r="B60" s="32">
        <v>43817</v>
      </c>
      <c r="C60" s="39">
        <f t="shared" si="0"/>
        <v>0.33333333333333331</v>
      </c>
      <c r="D60" s="33">
        <v>0.29166666666666669</v>
      </c>
      <c r="E60" s="33">
        <v>0.5</v>
      </c>
      <c r="F60" s="39">
        <f t="shared" si="1"/>
        <v>0.54166666666666663</v>
      </c>
      <c r="G60" s="33">
        <v>0.54166666666666663</v>
      </c>
      <c r="H60" s="33">
        <v>0.75</v>
      </c>
      <c r="I60" s="39">
        <f>IFERROR(IF(B60=VLOOKUP(B60,Feriados[],2,0),H60,IF(N60="Sáb",H60,IF(AND(B60&lt;$T$1,H60&lt;=$AA$3),$Z$3,IF(AND(N60="Sex",H60&gt;$AA$3),H60,IF(H60&lt;=$AA$3,$Z$3,IF(H60&lt;=$AA$8,$Z$8,H60)))))),IF(N60="Sáb",H60,IF(AND(B60&lt;$T$1,H60&lt;=$AA$3),$Z$3,IF(AND(N60="Sex",H60&gt;$AA$3),H60,IF(H60&lt;=$AA$3,$Z$3,IF(H60&lt;=$AA$8,$Z$8,H60))))))</f>
        <v>0.75</v>
      </c>
      <c r="J60" s="33">
        <f t="shared" si="2"/>
        <v>0.375</v>
      </c>
      <c r="K60" s="33">
        <f>IFERROR(IF(H60="","",IF(B60=VLOOKUP(B60,Feriados[],2,0),(H60-D60)-(G60-E60),IF(D60&lt;=$Y$4,(I60-D60)-(G60-E60),(I60-C60)-(F60-E60)))),IF(AND(D60&lt;=$Y$4,F60-E60=$AB$1),(I60-D60)-(F60-E60),IF(D60&lt;$Y$4,(I60-D60)-(G60-E60),(I60-C60)-(F60-E60))))</f>
        <v>0.41666666666666669</v>
      </c>
      <c r="L60" s="40">
        <f>IF(B60=_xlfn.XLOOKUP(B60,Feriados[FE Oficial],Feriados[FE Talvez],"",0),"",IF(Q60="Compensado","",IF(AND(N60="Sex",D60&lt;$Y$4),($Z$4-D60)+$AB$1-(F60-E60)+(I60-$Z$3),IF(AND(N60="Sex",I60&gt;$Z$3),($AB$1-(F60-E60))+(I60-$Z$3),IF(AND(N60="Sex",E60&lt;&gt;"",D60&lt;$Y$4),($Z$4-D60)+$AB$1-(F60-E60)+(I60-$Z$3),IF(N60="Sáb",(I60-D60)-(G60-E60)-(S60-R60),IF(AND(B60&lt;$T$1,I60&gt;$Z$3),H60-$Z$3,IF(D60&lt;$Y$4,($Z$4-D60)+($AB$1-(F60-E60))+(I60-$Z$8)+(S60-R60),IF(AND(S60&lt;&gt;"",D60&gt;$Z$4),(S60-R60)-($AB$1-(F60-E60)),IF(AND(S60&lt;&gt;"",D60&lt;$Y$4),(S60-R60)-($AB$1-(F60-E60)+($Z$4-D60)),IF(I60&gt;$Z$8,($AB$1-(F60-E60))+(I60-$Z$8),IF(AND(N60="Sex",(F60-E60)&lt;($AB$1-$W$1)),($AB$1-(F60-E60)),IF(AND(O60&gt;($AB$1-$W$1),D60&gt;$Z$4),"",IF(AND(B60&gt;=$T$1,(F60-E60)&gt;($AB$1-$W$1)),"",IF(AND(D60&gt;=$Y$4,I60=$Z$8,S60=""),($AB$1-(F60-E60)),IF(AND(P60&lt;&gt;"",S60&lt;&gt;""),I60-$Z$8,IF(AND(P60&lt;&gt;"",D60&gt;$Y$4),$AB$1-(F60-E60),"")))))))))))))))))</f>
        <v>4.1666666666666664E-2</v>
      </c>
      <c r="M60" s="107" t="str">
        <f>IFERROR(IF(H60="","",IF(B60=VLOOKUP(B60,Feriados[],2,0),(H60-D60)-(G60-E60),"")),"")</f>
        <v/>
      </c>
      <c r="N60" s="38" t="str">
        <f t="shared" si="3"/>
        <v>Ter</v>
      </c>
      <c r="O60" s="112">
        <f t="shared" si="4"/>
        <v>4.166666666666663E-2</v>
      </c>
      <c r="P60" s="113" t="str">
        <f>IF(B60=_xlfn.XLOOKUP(B60,Feriados[FE Oficial],Feriados[FE Talvez],"",0),"",IF(B60&lt;$T$1,"",IF(Q60="Consulta","",IF(Q60="Compensado","",IF(N60="Sáb","",IF(S60&lt;&gt;"",(S60-R60)-(($AB$1-O60)-(D60-$Z$4)),IF(O60&gt;$AB$1,O60-$AB$1,IF(C60&gt;$Z$4,C60-$Z$4,IF(AND(N60="Sex",G60&lt;&gt;"",H60=""),$Z$3-G60,IF(AND(G60&lt;&gt;"",H60=""),$Z$3-G60,IF(AND(N60="Sex",H60&lt;$Y$3),$Z$3-H60,IF(AND(N60&lt;&gt;"Sex",H60&gt;$AA$8),"",IF(AND(N60="Sex",H60&gt;$Z$8),"",IF(AND(N60&lt;&gt;"Sex",I60&gt;$Z$8),$Z$8-H60,IF(AND(N60&lt;&gt;"Sex",H60&lt;$Y$8),$Z$8-H60,"")))))))))))))))</f>
        <v/>
      </c>
      <c r="Q60" s="33"/>
      <c r="R60" s="33"/>
      <c r="S60" s="33"/>
    </row>
    <row r="61" spans="1:19" x14ac:dyDescent="0.25">
      <c r="A61" s="116" t="s">
        <v>191</v>
      </c>
      <c r="B61" s="32">
        <v>43817</v>
      </c>
      <c r="C61" s="39">
        <f t="shared" si="0"/>
        <v>0.33333333333333331</v>
      </c>
      <c r="D61" s="33">
        <v>0.33333333333333331</v>
      </c>
      <c r="E61" s="33">
        <v>0.5</v>
      </c>
      <c r="F61" s="39">
        <f t="shared" si="1"/>
        <v>0.54166666666666663</v>
      </c>
      <c r="G61" s="33">
        <v>0.54166666666666663</v>
      </c>
      <c r="H61" s="33">
        <v>0.75</v>
      </c>
      <c r="I61" s="39">
        <f>IFERROR(IF(B61=VLOOKUP(B61,Feriados[],2,0),H61,IF(N61="Sáb",H61,IF(AND(B61&lt;$T$1,H61&lt;=$AA$3),$Z$3,IF(AND(N61="Sex",H61&gt;$AA$3),H61,IF(H61&lt;=$AA$3,$Z$3,IF(H61&lt;=$AA$8,$Z$8,H61)))))),IF(N61="Sáb",H61,IF(AND(B61&lt;$T$1,H61&lt;=$AA$3),$Z$3,IF(AND(N61="Sex",H61&gt;$AA$3),H61,IF(H61&lt;=$AA$3,$Z$3,IF(H61&lt;=$AA$8,$Z$8,H61))))))</f>
        <v>0.75</v>
      </c>
      <c r="J61" s="33">
        <f t="shared" si="2"/>
        <v>0.37500000000000006</v>
      </c>
      <c r="K61" s="33">
        <f>IFERROR(IF(H61="","",IF(B61=VLOOKUP(B61,Feriados[],2,0),(H61-D61)-(G61-E61),IF(D61&lt;=$Y$4,(I61-D61)-(G61-E61),(I61-C61)-(F61-E61)))),IF(AND(D61&lt;=$Y$4,F61-E61=$AB$1),(I61-D61)-(F61-E61),IF(D61&lt;$Y$4,(I61-D61)-(G61-E61),(I61-C61)-(F61-E61))))</f>
        <v>0.37500000000000006</v>
      </c>
      <c r="L61" s="40" t="str">
        <f>IF(B61=_xlfn.XLOOKUP(B61,Feriados[FE Oficial],Feriados[FE Talvez],"",0),"",IF(Q61="Compensado","",IF(AND(N61="Sex",D61&lt;$Y$4),($Z$4-D61)+$AB$1-(F61-E61)+(I61-$Z$3),IF(AND(N61="Sex",I61&gt;$Z$3),($AB$1-(F61-E61))+(I61-$Z$3),IF(AND(N61="Sex",E61&lt;&gt;"",D61&lt;$Y$4),($Z$4-D61)+$AB$1-(F61-E61)+(I61-$Z$3),IF(N61="Sáb",(I61-D61)-(G61-E61)-(S61-R61),IF(AND(B61&lt;$T$1,I61&gt;$Z$3),H61-$Z$3,IF(D61&lt;$Y$4,($Z$4-D61)+($AB$1-(F61-E61))+(I61-$Z$8)+(S61-R61),IF(AND(S61&lt;&gt;"",D61&gt;$Z$4),(S61-R61)-($AB$1-(F61-E61)),IF(AND(S61&lt;&gt;"",D61&lt;$Y$4),(S61-R61)-($AB$1-(F61-E61)+($Z$4-D61)),IF(I61&gt;$Z$8,($AB$1-(F61-E61))+(I61-$Z$8),IF(AND(N61="Sex",(F61-E61)&lt;($AB$1-$W$1)),($AB$1-(F61-E61)),IF(AND(O61&gt;($AB$1-$W$1),D61&gt;$Z$4),"",IF(AND(B61&gt;=$T$1,(F61-E61)&gt;($AB$1-$W$1)),"",IF(AND(D61&gt;=$Y$4,I61=$Z$8,S61=""),($AB$1-(F61-E61)),IF(AND(P61&lt;&gt;"",S61&lt;&gt;""),I61-$Z$8,IF(AND(P61&lt;&gt;"",D61&gt;$Y$4),$AB$1-(F61-E61),"")))))))))))))))))</f>
        <v/>
      </c>
      <c r="M61" s="107" t="str">
        <f>IFERROR(IF(H61="","",IF(B61=VLOOKUP(B61,Feriados[],2,0),(H61-D61)-(G61-E61),"")),"")</f>
        <v/>
      </c>
      <c r="N61" s="38" t="str">
        <f t="shared" si="3"/>
        <v>Ter</v>
      </c>
      <c r="O61" s="112">
        <f t="shared" si="4"/>
        <v>4.166666666666663E-2</v>
      </c>
      <c r="P61" s="113" t="str">
        <f>IF(B61=_xlfn.XLOOKUP(B61,Feriados[FE Oficial],Feriados[FE Talvez],"",0),"",IF(B61&lt;$T$1,"",IF(Q61="Consulta","",IF(Q61="Compensado","",IF(N61="Sáb","",IF(S61&lt;&gt;"",(S61-R61)-(($AB$1-O61)-(D61-$Z$4)),IF(O61&gt;$AB$1,O61-$AB$1,IF(C61&gt;$Z$4,C61-$Z$4,IF(AND(N61="Sex",G61&lt;&gt;"",H61=""),$Z$3-G61,IF(AND(G61&lt;&gt;"",H61=""),$Z$3-G61,IF(AND(N61="Sex",H61&lt;$Y$3),$Z$3-H61,IF(AND(N61&lt;&gt;"Sex",H61&gt;$AA$8),"",IF(AND(N61="Sex",H61&gt;$Z$8),"",IF(AND(N61&lt;&gt;"Sex",I61&gt;$Z$8),$Z$8-H61,IF(AND(N61&lt;&gt;"Sex",H61&lt;$Y$8),$Z$8-H61,"")))))))))))))))</f>
        <v/>
      </c>
      <c r="Q61" s="33"/>
      <c r="R61" s="33"/>
      <c r="S61" s="33"/>
    </row>
    <row r="62" spans="1:19" x14ac:dyDescent="0.25">
      <c r="A62" s="116" t="s">
        <v>175</v>
      </c>
      <c r="B62" s="32">
        <v>43818</v>
      </c>
      <c r="C62" s="39">
        <f t="shared" si="0"/>
        <v>0.33333333333333331</v>
      </c>
      <c r="D62" s="33">
        <v>0.33333333333333331</v>
      </c>
      <c r="E62" s="33">
        <v>0.5</v>
      </c>
      <c r="F62" s="39">
        <f t="shared" si="1"/>
        <v>0.54166666666666663</v>
      </c>
      <c r="G62" s="33">
        <v>0.54166666666666663</v>
      </c>
      <c r="H62" s="33">
        <v>0.8208333333333333</v>
      </c>
      <c r="I62" s="39">
        <f>IFERROR(IF(B62=VLOOKUP(B62,Feriados[],2,0),H62,IF(N62="Sáb",H62,IF(AND(B62&lt;$T$1,H62&lt;=$AA$3),$Z$3,IF(AND(N62="Sex",H62&gt;$AA$3),H62,IF(H62&lt;=$AA$3,$Z$3,IF(H62&lt;=$AA$8,$Z$8,H62)))))),IF(N62="Sáb",H62,IF(AND(B62&lt;$T$1,H62&lt;=$AA$3),$Z$3,IF(AND(N62="Sex",H62&gt;$AA$3),H62,IF(H62&lt;=$AA$3,$Z$3,IF(H62&lt;=$AA$8,$Z$8,H62))))))</f>
        <v>0.8208333333333333</v>
      </c>
      <c r="J62" s="33">
        <f t="shared" si="2"/>
        <v>0.375</v>
      </c>
      <c r="K62" s="33">
        <f>IFERROR(IF(H62="","",IF(B62=VLOOKUP(B62,Feriados[],2,0),(H62-D62)-(G62-E62),IF(D62&lt;=$Y$4,(I62-D62)-(G62-E62),(I62-C62)-(F62-E62)))),IF(AND(D62&lt;=$Y$4,F62-E62=$AB$1),(I62-D62)-(F62-E62),IF(D62&lt;$Y$4,(I62-D62)-(G62-E62),(I62-C62)-(F62-E62))))</f>
        <v>0.44583333333333336</v>
      </c>
      <c r="L62" s="40">
        <f>IF(B62=_xlfn.XLOOKUP(B62,Feriados[FE Oficial],Feriados[FE Talvez],"",0),"",IF(Q62="Compensado","",IF(AND(N62="Sex",D62&lt;$Y$4),($Z$4-D62)+$AB$1-(F62-E62)+(I62-$Z$3),IF(AND(N62="Sex",I62&gt;$Z$3),($AB$1-(F62-E62))+(I62-$Z$3),IF(AND(N62="Sex",E62&lt;&gt;"",D62&lt;$Y$4),($Z$4-D62)+$AB$1-(F62-E62)+(I62-$Z$3),IF(N62="Sáb",(I62-D62)-(G62-E62)-(S62-R62),IF(AND(B62&lt;$T$1,I62&gt;$Z$3),H62-$Z$3,IF(D62&lt;$Y$4,($Z$4-D62)+($AB$1-(F62-E62))+(I62-$Z$8)+(S62-R62),IF(AND(S62&lt;&gt;"",D62&gt;$Z$4),(S62-R62)-($AB$1-(F62-E62)),IF(AND(S62&lt;&gt;"",D62&lt;$Y$4),(S62-R62)-($AB$1-(F62-E62)+($Z$4-D62)),IF(I62&gt;$Z$8,($AB$1-(F62-E62))+(I62-$Z$8),IF(AND(N62="Sex",(F62-E62)&lt;($AB$1-$W$1)),($AB$1-(F62-E62)),IF(AND(O62&gt;($AB$1-$W$1),D62&gt;$Z$4),"",IF(AND(B62&gt;=$T$1,(F62-E62)&gt;($AB$1-$W$1)),"",IF(AND(D62&gt;=$Y$4,I62=$Z$8,S62=""),($AB$1-(F62-E62)),IF(AND(P62&lt;&gt;"",S62&lt;&gt;""),I62-$Z$8,IF(AND(P62&lt;&gt;"",D62&gt;$Y$4),$AB$1-(F62-E62),"")))))))))))))))))</f>
        <v>7.0833333333333331E-2</v>
      </c>
      <c r="M62" s="107" t="str">
        <f>IFERROR(IF(H62="","",IF(B62=VLOOKUP(B62,Feriados[],2,0),(H62-D62)-(G62-E62),"")),"")</f>
        <v/>
      </c>
      <c r="N62" s="38" t="str">
        <f t="shared" si="3"/>
        <v>Qua</v>
      </c>
      <c r="O62" s="112">
        <f t="shared" si="4"/>
        <v>4.166666666666663E-2</v>
      </c>
      <c r="P62" s="113" t="str">
        <f>IF(B62=_xlfn.XLOOKUP(B62,Feriados[FE Oficial],Feriados[FE Talvez],"",0),"",IF(B62&lt;$T$1,"",IF(Q62="Consulta","",IF(Q62="Compensado","",IF(N62="Sáb","",IF(S62&lt;&gt;"",(S62-R62)-(($AB$1-O62)-(D62-$Z$4)),IF(O62&gt;$AB$1,O62-$AB$1,IF(C62&gt;$Z$4,C62-$Z$4,IF(AND(N62="Sex",G62&lt;&gt;"",H62=""),$Z$3-G62,IF(AND(G62&lt;&gt;"",H62=""),$Z$3-G62,IF(AND(N62="Sex",H62&lt;$Y$3),$Z$3-H62,IF(AND(N62&lt;&gt;"Sex",H62&gt;$AA$8),"",IF(AND(N62="Sex",H62&gt;$Z$8),"",IF(AND(N62&lt;&gt;"Sex",I62&gt;$Z$8),$Z$8-H62,IF(AND(N62&lt;&gt;"Sex",H62&lt;$Y$8),$Z$8-H62,"")))))))))))))))</f>
        <v/>
      </c>
      <c r="Q62" s="33"/>
      <c r="R62" s="33"/>
      <c r="S62" s="33"/>
    </row>
    <row r="63" spans="1:19" x14ac:dyDescent="0.25">
      <c r="A63" s="116" t="s">
        <v>190</v>
      </c>
      <c r="B63" s="32">
        <v>43818</v>
      </c>
      <c r="C63" s="39">
        <f t="shared" si="0"/>
        <v>0.33333333333333331</v>
      </c>
      <c r="D63" s="33">
        <v>0.33749999999999997</v>
      </c>
      <c r="E63" s="33">
        <v>0.5</v>
      </c>
      <c r="F63" s="39">
        <f t="shared" si="1"/>
        <v>0.54166666666666663</v>
      </c>
      <c r="G63" s="33">
        <v>0.54166666666666663</v>
      </c>
      <c r="H63" s="33">
        <v>0.81736111111111109</v>
      </c>
      <c r="I63" s="39">
        <f>IFERROR(IF(B63=VLOOKUP(B63,Feriados[],2,0),H63,IF(N63="Sáb",H63,IF(AND(B63&lt;$T$1,H63&lt;=$AA$3),$Z$3,IF(AND(N63="Sex",H63&gt;$AA$3),H63,IF(H63&lt;=$AA$3,$Z$3,IF(H63&lt;=$AA$8,$Z$8,H63)))))),IF(N63="Sáb",H63,IF(AND(B63&lt;$T$1,H63&lt;=$AA$3),$Z$3,IF(AND(N63="Sex",H63&gt;$AA$3),H63,IF(H63&lt;=$AA$3,$Z$3,IF(H63&lt;=$AA$8,$Z$8,H63))))))</f>
        <v>0.81736111111111109</v>
      </c>
      <c r="J63" s="33">
        <f t="shared" si="2"/>
        <v>0.375</v>
      </c>
      <c r="K63" s="33">
        <f>IFERROR(IF(H63="","",IF(B63=VLOOKUP(B63,Feriados[],2,0),(H63-D63)-(G63-E63),IF(D63&lt;=$Y$4,(I63-D63)-(G63-E63),(I63-C63)-(F63-E63)))),IF(AND(D63&lt;=$Y$4,F63-E63=$AB$1),(I63-D63)-(F63-E63),IF(D63&lt;$Y$4,(I63-D63)-(G63-E63),(I63-C63)-(F63-E63))))</f>
        <v>0.44236111111111115</v>
      </c>
      <c r="L63" s="40">
        <f>IF(B63=_xlfn.XLOOKUP(B63,Feriados[FE Oficial],Feriados[FE Talvez],"",0),"",IF(Q63="Compensado","",IF(AND(N63="Sex",D63&lt;$Y$4),($Z$4-D63)+$AB$1-(F63-E63)+(I63-$Z$3),IF(AND(N63="Sex",I63&gt;$Z$3),($AB$1-(F63-E63))+(I63-$Z$3),IF(AND(N63="Sex",E63&lt;&gt;"",D63&lt;$Y$4),($Z$4-D63)+$AB$1-(F63-E63)+(I63-$Z$3),IF(N63="Sáb",(I63-D63)-(G63-E63)-(S63-R63),IF(AND(B63&lt;$T$1,I63&gt;$Z$3),H63-$Z$3,IF(D63&lt;$Y$4,($Z$4-D63)+($AB$1-(F63-E63))+(I63-$Z$8)+(S63-R63),IF(AND(S63&lt;&gt;"",D63&gt;$Z$4),(S63-R63)-($AB$1-(F63-E63)),IF(AND(S63&lt;&gt;"",D63&lt;$Y$4),(S63-R63)-($AB$1-(F63-E63)+($Z$4-D63)),IF(I63&gt;$Z$8,($AB$1-(F63-E63))+(I63-$Z$8),IF(AND(N63="Sex",(F63-E63)&lt;($AB$1-$W$1)),($AB$1-(F63-E63)),IF(AND(O63&gt;($AB$1-$W$1),D63&gt;$Z$4),"",IF(AND(B63&gt;=$T$1,(F63-E63)&gt;($AB$1-$W$1)),"",IF(AND(D63&gt;=$Y$4,I63=$Z$8,S63=""),($AB$1-(F63-E63)),IF(AND(P63&lt;&gt;"",S63&lt;&gt;""),I63-$Z$8,IF(AND(P63&lt;&gt;"",D63&gt;$Y$4),$AB$1-(F63-E63),"")))))))))))))))))</f>
        <v>6.7361111111111122E-2</v>
      </c>
      <c r="M63" s="107" t="str">
        <f>IFERROR(IF(H63="","",IF(B63=VLOOKUP(B63,Feriados[],2,0),(H63-D63)-(G63-E63),"")),"")</f>
        <v/>
      </c>
      <c r="N63" s="38" t="str">
        <f t="shared" si="3"/>
        <v>Qua</v>
      </c>
      <c r="O63" s="112">
        <f t="shared" si="4"/>
        <v>4.166666666666663E-2</v>
      </c>
      <c r="P63" s="113" t="str">
        <f>IF(B63=_xlfn.XLOOKUP(B63,Feriados[FE Oficial],Feriados[FE Talvez],"",0),"",IF(B63&lt;$T$1,"",IF(Q63="Consulta","",IF(Q63="Compensado","",IF(N63="Sáb","",IF(S63&lt;&gt;"",(S63-R63)-(($AB$1-O63)-(D63-$Z$4)),IF(O63&gt;$AB$1,O63-$AB$1,IF(C63&gt;$Z$4,C63-$Z$4,IF(AND(N63="Sex",G63&lt;&gt;"",H63=""),$Z$3-G63,IF(AND(G63&lt;&gt;"",H63=""),$Z$3-G63,IF(AND(N63="Sex",H63&lt;$Y$3),$Z$3-H63,IF(AND(N63&lt;&gt;"Sex",H63&gt;$AA$8),"",IF(AND(N63="Sex",H63&gt;$Z$8),"",IF(AND(N63&lt;&gt;"Sex",I63&gt;$Z$8),$Z$8-H63,IF(AND(N63&lt;&gt;"Sex",H63&lt;$Y$8),$Z$8-H63,"")))))))))))))))</f>
        <v/>
      </c>
      <c r="Q63" s="33"/>
      <c r="R63" s="33"/>
      <c r="S63" s="33"/>
    </row>
    <row r="64" spans="1:19" x14ac:dyDescent="0.25">
      <c r="A64" s="116" t="s">
        <v>182</v>
      </c>
      <c r="B64" s="32">
        <v>43818</v>
      </c>
      <c r="C64" s="39">
        <f t="shared" si="0"/>
        <v>0.34930555555555554</v>
      </c>
      <c r="D64" s="33">
        <v>0.34930555555555554</v>
      </c>
      <c r="E64" s="33">
        <v>0.5</v>
      </c>
      <c r="F64" s="39">
        <f t="shared" si="1"/>
        <v>0.54166666666666663</v>
      </c>
      <c r="G64" s="33">
        <v>0.54583333333333328</v>
      </c>
      <c r="H64" s="33">
        <v>0.8208333333333333</v>
      </c>
      <c r="I64" s="39">
        <f>IFERROR(IF(B64=VLOOKUP(B64,Feriados[],2,0),H64,IF(N64="Sáb",H64,IF(AND(B64&lt;$T$1,H64&lt;=$AA$3),$Z$3,IF(AND(N64="Sex",H64&gt;$AA$3),H64,IF(H64&lt;=$AA$3,$Z$3,IF(H64&lt;=$AA$8,$Z$8,H64)))))),IF(N64="Sáb",H64,IF(AND(B64&lt;$T$1,H64&lt;=$AA$3),$Z$3,IF(AND(N64="Sex",H64&gt;$AA$3),H64,IF(H64&lt;=$AA$3,$Z$3,IF(H64&lt;=$AA$8,$Z$8,H64))))))</f>
        <v>0.8208333333333333</v>
      </c>
      <c r="J64" s="33">
        <f t="shared" si="2"/>
        <v>0.375</v>
      </c>
      <c r="K64" s="33">
        <f>IFERROR(IF(H64="","",IF(B64=VLOOKUP(B64,Feriados[],2,0),(H64-D64)-(G64-E64),IF(D64&lt;=$Y$4,(I64-D64)-(G64-E64),(I64-C64)-(F64-E64)))),IF(AND(D64&lt;=$Y$4,F64-E64=$AB$1),(I64-D64)-(F64-E64),IF(D64&lt;$Y$4,(I64-D64)-(G64-E64),(I64-C64)-(F64-E64))))</f>
        <v>0.42986111111111114</v>
      </c>
      <c r="L64" s="40">
        <f>IF(B64=_xlfn.XLOOKUP(B64,Feriados[FE Oficial],Feriados[FE Talvez],"",0),"",IF(Q64="Compensado","",IF(AND(N64="Sex",D64&lt;$Y$4),($Z$4-D64)+$AB$1-(F64-E64)+(I64-$Z$3),IF(AND(N64="Sex",I64&gt;$Z$3),($AB$1-(F64-E64))+(I64-$Z$3),IF(AND(N64="Sex",E64&lt;&gt;"",D64&lt;$Y$4),($Z$4-D64)+$AB$1-(F64-E64)+(I64-$Z$3),IF(N64="Sáb",(I64-D64)-(G64-E64)-(S64-R64),IF(AND(B64&lt;$T$1,I64&gt;$Z$3),H64-$Z$3,IF(D64&lt;$Y$4,($Z$4-D64)+($AB$1-(F64-E64))+(I64-$Z$8)+(S64-R64),IF(AND(S64&lt;&gt;"",D64&gt;$Z$4),(S64-R64)-($AB$1-(F64-E64)),IF(AND(S64&lt;&gt;"",D64&lt;$Y$4),(S64-R64)-($AB$1-(F64-E64)+($Z$4-D64)),IF(I64&gt;$Z$8,($AB$1-(F64-E64))+(I64-$Z$8),IF(AND(N64="Sex",(F64-E64)&lt;($AB$1-$W$1)),($AB$1-(F64-E64)),IF(AND(O64&gt;($AB$1-$W$1),D64&gt;$Z$4),"",IF(AND(B64&gt;=$T$1,(F64-E64)&gt;($AB$1-$W$1)),"",IF(AND(D64&gt;=$Y$4,I64=$Z$8,S64=""),($AB$1-(F64-E64)),IF(AND(P64&lt;&gt;"",S64&lt;&gt;""),I64-$Z$8,IF(AND(P64&lt;&gt;"",D64&gt;$Y$4),$AB$1-(F64-E64),"")))))))))))))))))</f>
        <v>7.0833333333333331E-2</v>
      </c>
      <c r="M64" s="107" t="str">
        <f>IFERROR(IF(H64="","",IF(B64=VLOOKUP(B64,Feriados[],2,0),(H64-D64)-(G64-E64),"")),"")</f>
        <v/>
      </c>
      <c r="N64" s="38" t="str">
        <f t="shared" si="3"/>
        <v>Qua</v>
      </c>
      <c r="O64" s="112">
        <f t="shared" si="4"/>
        <v>4.5833333333333282E-2</v>
      </c>
      <c r="P64" s="113">
        <f>IF(B64=_xlfn.XLOOKUP(B64,Feriados[FE Oficial],Feriados[FE Talvez],"",0),"",IF(B64&lt;$T$1,"",IF(Q64="Consulta","",IF(Q64="Compensado","",IF(N64="Sáb","",IF(S64&lt;&gt;"",(S64-R64)-(($AB$1-O64)-(D64-$Z$4)),IF(O64&gt;$AB$1,O64-$AB$1,IF(C64&gt;$Z$4,C64-$Z$4,IF(AND(N64="Sex",G64&lt;&gt;"",H64=""),$Z$3-G64,IF(AND(G64&lt;&gt;"",H64=""),$Z$3-G64,IF(AND(N64="Sex",H64&lt;$Y$3),$Z$3-H64,IF(AND(N64&lt;&gt;"Sex",H64&gt;$AA$8),"",IF(AND(N64="Sex",H64&gt;$Z$8),"",IF(AND(N64&lt;&gt;"Sex",I64&gt;$Z$8),$Z$8-H64,IF(AND(N64&lt;&gt;"Sex",H64&lt;$Y$8),$Z$8-H64,"")))))))))))))))</f>
        <v>4.1666666666666172E-3</v>
      </c>
      <c r="Q64" s="33"/>
      <c r="R64" s="33"/>
      <c r="S64" s="33"/>
    </row>
    <row r="65" spans="1:19" x14ac:dyDescent="0.25">
      <c r="A65" s="116" t="s">
        <v>197</v>
      </c>
      <c r="B65" s="32">
        <v>43818</v>
      </c>
      <c r="C65" s="39">
        <f t="shared" si="0"/>
        <v>0.33333333333333331</v>
      </c>
      <c r="D65" s="33">
        <v>0.33333333333333331</v>
      </c>
      <c r="E65" s="33">
        <v>0.5</v>
      </c>
      <c r="F65" s="39">
        <f t="shared" si="1"/>
        <v>0.54166666666666663</v>
      </c>
      <c r="G65" s="33">
        <v>0.54166666666666663</v>
      </c>
      <c r="H65" s="33">
        <v>0.74236111111111114</v>
      </c>
      <c r="I65" s="39">
        <f>IFERROR(IF(B65=VLOOKUP(B65,Feriados[],2,0),H65,IF(N65="Sáb",H65,IF(AND(B65&lt;$T$1,H65&lt;=$AA$3),$Z$3,IF(AND(N65="Sex",H65&gt;$AA$3),H65,IF(H65&lt;=$AA$3,$Z$3,IF(H65&lt;=$AA$8,$Z$8,H65)))))),IF(N65="Sáb",H65,IF(AND(B65&lt;$T$1,H65&lt;=$AA$3),$Z$3,IF(AND(N65="Sex",H65&gt;$AA$3),H65,IF(H65&lt;=$AA$3,$Z$3,IF(H65&lt;=$AA$8,$Z$8,H65))))))</f>
        <v>0.75</v>
      </c>
      <c r="J65" s="33">
        <f t="shared" si="2"/>
        <v>0.36736111111111119</v>
      </c>
      <c r="K65" s="33">
        <f>IFERROR(IF(H65="","",IF(B65=VLOOKUP(B65,Feriados[],2,0),(H65-D65)-(G65-E65),IF(D65&lt;=$Y$4,(I65-D65)-(G65-E65),(I65-C65)-(F65-E65)))),IF(AND(D65&lt;=$Y$4,F65-E65=$AB$1),(I65-D65)-(F65-E65),IF(D65&lt;$Y$4,(I65-D65)-(G65-E65),(I65-C65)-(F65-E65))))</f>
        <v>0.37500000000000006</v>
      </c>
      <c r="L65" s="40" t="str">
        <f>IF(B65=_xlfn.XLOOKUP(B65,Feriados[FE Oficial],Feriados[FE Talvez],"",0),"",IF(Q65="Compensado","",IF(AND(N65="Sex",D65&lt;$Y$4),($Z$4-D65)+$AB$1-(F65-E65)+(I65-$Z$3),IF(AND(N65="Sex",I65&gt;$Z$3),($AB$1-(F65-E65))+(I65-$Z$3),IF(AND(N65="Sex",E65&lt;&gt;"",D65&lt;$Y$4),($Z$4-D65)+$AB$1-(F65-E65)+(I65-$Z$3),IF(N65="Sáb",(I65-D65)-(G65-E65)-(S65-R65),IF(AND(B65&lt;$T$1,I65&gt;$Z$3),H65-$Z$3,IF(D65&lt;$Y$4,($Z$4-D65)+($AB$1-(F65-E65))+(I65-$Z$8)+(S65-R65),IF(AND(S65&lt;&gt;"",D65&gt;$Z$4),(S65-R65)-($AB$1-(F65-E65)),IF(AND(S65&lt;&gt;"",D65&lt;$Y$4),(S65-R65)-($AB$1-(F65-E65)+($Z$4-D65)),IF(I65&gt;$Z$8,($AB$1-(F65-E65))+(I65-$Z$8),IF(AND(N65="Sex",(F65-E65)&lt;($AB$1-$W$1)),($AB$1-(F65-E65)),IF(AND(O65&gt;($AB$1-$W$1),D65&gt;$Z$4),"",IF(AND(B65&gt;=$T$1,(F65-E65)&gt;($AB$1-$W$1)),"",IF(AND(D65&gt;=$Y$4,I65=$Z$8,S65=""),($AB$1-(F65-E65)),IF(AND(P65&lt;&gt;"",S65&lt;&gt;""),I65-$Z$8,IF(AND(P65&lt;&gt;"",D65&gt;$Y$4),$AB$1-(F65-E65),"")))))))))))))))))</f>
        <v/>
      </c>
      <c r="M65" s="107" t="str">
        <f>IFERROR(IF(H65="","",IF(B65=VLOOKUP(B65,Feriados[],2,0),(H65-D65)-(G65-E65),"")),"")</f>
        <v/>
      </c>
      <c r="N65" s="38" t="str">
        <f t="shared" si="3"/>
        <v>Qua</v>
      </c>
      <c r="O65" s="112">
        <f t="shared" si="4"/>
        <v>4.166666666666663E-2</v>
      </c>
      <c r="P65" s="113">
        <f>IF(B65=_xlfn.XLOOKUP(B65,Feriados[FE Oficial],Feriados[FE Talvez],"",0),"",IF(B65&lt;$T$1,"",IF(Q65="Consulta","",IF(Q65="Compensado","",IF(N65="Sáb","",IF(S65&lt;&gt;"",(S65-R65)-(($AB$1-O65)-(D65-$Z$4)),IF(O65&gt;$AB$1,O65-$AB$1,IF(C65&gt;$Z$4,C65-$Z$4,IF(AND(N65="Sex",G65&lt;&gt;"",H65=""),$Z$3-G65,IF(AND(G65&lt;&gt;"",H65=""),$Z$3-G65,IF(AND(N65="Sex",H65&lt;$Y$3),$Z$3-H65,IF(AND(N65&lt;&gt;"Sex",H65&gt;$AA$8),"",IF(AND(N65="Sex",H65&gt;$Z$8),"",IF(AND(N65&lt;&gt;"Sex",I65&gt;$Z$8),$Z$8-H65,IF(AND(N65&lt;&gt;"Sex",H65&lt;$Y$8),$Z$8-H65,"")))))))))))))))</f>
        <v>7.6388888888888618E-3</v>
      </c>
      <c r="Q65" s="33"/>
      <c r="R65" s="33"/>
      <c r="S65" s="33"/>
    </row>
    <row r="66" spans="1:19" x14ac:dyDescent="0.25">
      <c r="A66" s="116" t="s">
        <v>194</v>
      </c>
      <c r="B66" s="32">
        <v>43818</v>
      </c>
      <c r="C66" s="39">
        <f t="shared" ref="C66:C129" si="5">IF(D66="","",IF(D66&lt;=$Y$4,$Z$4,IF(D66&lt;=$AA$4,$Z$4,D66)))</f>
        <v>0.33333333333333331</v>
      </c>
      <c r="D66" s="33">
        <v>0.29166666666666669</v>
      </c>
      <c r="E66" s="33">
        <v>0.5</v>
      </c>
      <c r="F66" s="39">
        <f t="shared" ref="F66:F129" si="6">IF(G66-E66&lt;=$X$1,G66,E66+$AB$1)</f>
        <v>0.54166666666666663</v>
      </c>
      <c r="G66" s="33">
        <v>0.54166666666666663</v>
      </c>
      <c r="H66" s="33">
        <v>0.75</v>
      </c>
      <c r="I66" s="39">
        <f>IFERROR(IF(B66=VLOOKUP(B66,Feriados[],2,0),H66,IF(N66="Sáb",H66,IF(AND(B66&lt;$T$1,H66&lt;=$AA$3),$Z$3,IF(AND(N66="Sex",H66&gt;$AA$3),H66,IF(H66&lt;=$AA$3,$Z$3,IF(H66&lt;=$AA$8,$Z$8,H66)))))),IF(N66="Sáb",H66,IF(AND(B66&lt;$T$1,H66&lt;=$AA$3),$Z$3,IF(AND(N66="Sex",H66&gt;$AA$3),H66,IF(H66&lt;=$AA$3,$Z$3,IF(H66&lt;=$AA$8,$Z$8,H66))))))</f>
        <v>0.75</v>
      </c>
      <c r="J66" s="33">
        <f t="shared" ref="J66:J129" si="7">IF((H66-D66)-(G66-E66)&lt;$AB$1,"",IF(AND(B66&lt;$T$1,(H66-D66)-(G66-E66)&gt;$Y$2),$Y$2,IF(AND(N66="Sex",(H66-D66)-(G66-E66)&gt;$Y$2),$Y$2,IF((H66-D66)-(G66-E66)&gt;$X$2,$X$2,(H66-D66)-(G66-E66)))))</f>
        <v>0.375</v>
      </c>
      <c r="K66" s="33">
        <f>IFERROR(IF(H66="","",IF(B66=VLOOKUP(B66,Feriados[],2,0),(H66-D66)-(G66-E66),IF(D66&lt;=$Y$4,(I66-D66)-(G66-E66),(I66-C66)-(F66-E66)))),IF(AND(D66&lt;=$Y$4,F66-E66=$AB$1),(I66-D66)-(F66-E66),IF(D66&lt;$Y$4,(I66-D66)-(G66-E66),(I66-C66)-(F66-E66))))</f>
        <v>0.41666666666666669</v>
      </c>
      <c r="L66" s="40">
        <f>IF(B66=_xlfn.XLOOKUP(B66,Feriados[FE Oficial],Feriados[FE Talvez],"",0),"",IF(Q66="Compensado","",IF(AND(N66="Sex",D66&lt;$Y$4),($Z$4-D66)+$AB$1-(F66-E66)+(I66-$Z$3),IF(AND(N66="Sex",I66&gt;$Z$3),($AB$1-(F66-E66))+(I66-$Z$3),IF(AND(N66="Sex",E66&lt;&gt;"",D66&lt;$Y$4),($Z$4-D66)+$AB$1-(F66-E66)+(I66-$Z$3),IF(N66="Sáb",(I66-D66)-(G66-E66)-(S66-R66),IF(AND(B66&lt;$T$1,I66&gt;$Z$3),H66-$Z$3,IF(D66&lt;$Y$4,($Z$4-D66)+($AB$1-(F66-E66))+(I66-$Z$8)+(S66-R66),IF(AND(S66&lt;&gt;"",D66&gt;$Z$4),(S66-R66)-($AB$1-(F66-E66)),IF(AND(S66&lt;&gt;"",D66&lt;$Y$4),(S66-R66)-($AB$1-(F66-E66)+($Z$4-D66)),IF(I66&gt;$Z$8,($AB$1-(F66-E66))+(I66-$Z$8),IF(AND(N66="Sex",(F66-E66)&lt;($AB$1-$W$1)),($AB$1-(F66-E66)),IF(AND(O66&gt;($AB$1-$W$1),D66&gt;$Z$4),"",IF(AND(B66&gt;=$T$1,(F66-E66)&gt;($AB$1-$W$1)),"",IF(AND(D66&gt;=$Y$4,I66=$Z$8,S66=""),($AB$1-(F66-E66)),IF(AND(P66&lt;&gt;"",S66&lt;&gt;""),I66-$Z$8,IF(AND(P66&lt;&gt;"",D66&gt;$Y$4),$AB$1-(F66-E66),"")))))))))))))))))</f>
        <v>4.1666666666666664E-2</v>
      </c>
      <c r="M66" s="107" t="str">
        <f>IFERROR(IF(H66="","",IF(B66=VLOOKUP(B66,Feriados[],2,0),(H66-D66)-(G66-E66),"")),"")</f>
        <v/>
      </c>
      <c r="N66" s="38" t="str">
        <f t="shared" ref="N66:N129" si="8">PROPER(TEXT(B66,"DDD"))</f>
        <v>Qua</v>
      </c>
      <c r="O66" s="112">
        <f t="shared" ref="O66:O129" si="9">G66-E66</f>
        <v>4.166666666666663E-2</v>
      </c>
      <c r="P66" s="113" t="str">
        <f>IF(B66=_xlfn.XLOOKUP(B66,Feriados[FE Oficial],Feriados[FE Talvez],"",0),"",IF(B66&lt;$T$1,"",IF(Q66="Consulta","",IF(Q66="Compensado","",IF(N66="Sáb","",IF(S66&lt;&gt;"",(S66-R66)-(($AB$1-O66)-(D66-$Z$4)),IF(O66&gt;$AB$1,O66-$AB$1,IF(C66&gt;$Z$4,C66-$Z$4,IF(AND(N66="Sex",G66&lt;&gt;"",H66=""),$Z$3-G66,IF(AND(G66&lt;&gt;"",H66=""),$Z$3-G66,IF(AND(N66="Sex",H66&lt;$Y$3),$Z$3-H66,IF(AND(N66&lt;&gt;"Sex",H66&gt;$AA$8),"",IF(AND(N66="Sex",H66&gt;$Z$8),"",IF(AND(N66&lt;&gt;"Sex",I66&gt;$Z$8),$Z$8-H66,IF(AND(N66&lt;&gt;"Sex",H66&lt;$Y$8),$Z$8-H66,"")))))))))))))))</f>
        <v/>
      </c>
      <c r="Q66" s="33"/>
      <c r="R66" s="33"/>
      <c r="S66" s="33"/>
    </row>
    <row r="67" spans="1:19" x14ac:dyDescent="0.25">
      <c r="A67" s="116" t="s">
        <v>191</v>
      </c>
      <c r="B67" s="32">
        <v>43818</v>
      </c>
      <c r="C67" s="39">
        <f t="shared" si="5"/>
        <v>0.33333333333333331</v>
      </c>
      <c r="D67" s="33">
        <v>0.33333333333333331</v>
      </c>
      <c r="E67" s="33">
        <v>0.5</v>
      </c>
      <c r="F67" s="39">
        <f t="shared" si="6"/>
        <v>0.54166666666666663</v>
      </c>
      <c r="G67" s="33">
        <v>0.54166666666666663</v>
      </c>
      <c r="H67" s="33">
        <v>0.75</v>
      </c>
      <c r="I67" s="39">
        <f>IFERROR(IF(B67=VLOOKUP(B67,Feriados[],2,0),H67,IF(N67="Sáb",H67,IF(AND(B67&lt;$T$1,H67&lt;=$AA$3),$Z$3,IF(AND(N67="Sex",H67&gt;$AA$3),H67,IF(H67&lt;=$AA$3,$Z$3,IF(H67&lt;=$AA$8,$Z$8,H67)))))),IF(N67="Sáb",H67,IF(AND(B67&lt;$T$1,H67&lt;=$AA$3),$Z$3,IF(AND(N67="Sex",H67&gt;$AA$3),H67,IF(H67&lt;=$AA$3,$Z$3,IF(H67&lt;=$AA$8,$Z$8,H67))))))</f>
        <v>0.75</v>
      </c>
      <c r="J67" s="33">
        <f t="shared" si="7"/>
        <v>0.37500000000000006</v>
      </c>
      <c r="K67" s="33">
        <f>IFERROR(IF(H67="","",IF(B67=VLOOKUP(B67,Feriados[],2,0),(H67-D67)-(G67-E67),IF(D67&lt;=$Y$4,(I67-D67)-(G67-E67),(I67-C67)-(F67-E67)))),IF(AND(D67&lt;=$Y$4,F67-E67=$AB$1),(I67-D67)-(F67-E67),IF(D67&lt;$Y$4,(I67-D67)-(G67-E67),(I67-C67)-(F67-E67))))</f>
        <v>0.37500000000000006</v>
      </c>
      <c r="L67" s="40" t="str">
        <f>IF(B67=_xlfn.XLOOKUP(B67,Feriados[FE Oficial],Feriados[FE Talvez],"",0),"",IF(Q67="Compensado","",IF(AND(N67="Sex",D67&lt;$Y$4),($Z$4-D67)+$AB$1-(F67-E67)+(I67-$Z$3),IF(AND(N67="Sex",I67&gt;$Z$3),($AB$1-(F67-E67))+(I67-$Z$3),IF(AND(N67="Sex",E67&lt;&gt;"",D67&lt;$Y$4),($Z$4-D67)+$AB$1-(F67-E67)+(I67-$Z$3),IF(N67="Sáb",(I67-D67)-(G67-E67)-(S67-R67),IF(AND(B67&lt;$T$1,I67&gt;$Z$3),H67-$Z$3,IF(D67&lt;$Y$4,($Z$4-D67)+($AB$1-(F67-E67))+(I67-$Z$8)+(S67-R67),IF(AND(S67&lt;&gt;"",D67&gt;$Z$4),(S67-R67)-($AB$1-(F67-E67)),IF(AND(S67&lt;&gt;"",D67&lt;$Y$4),(S67-R67)-($AB$1-(F67-E67)+($Z$4-D67)),IF(I67&gt;$Z$8,($AB$1-(F67-E67))+(I67-$Z$8),IF(AND(N67="Sex",(F67-E67)&lt;($AB$1-$W$1)),($AB$1-(F67-E67)),IF(AND(O67&gt;($AB$1-$W$1),D67&gt;$Z$4),"",IF(AND(B67&gt;=$T$1,(F67-E67)&gt;($AB$1-$W$1)),"",IF(AND(D67&gt;=$Y$4,I67=$Z$8,S67=""),($AB$1-(F67-E67)),IF(AND(P67&lt;&gt;"",S67&lt;&gt;""),I67-$Z$8,IF(AND(P67&lt;&gt;"",D67&gt;$Y$4),$AB$1-(F67-E67),"")))))))))))))))))</f>
        <v/>
      </c>
      <c r="M67" s="107" t="str">
        <f>IFERROR(IF(H67="","",IF(B67=VLOOKUP(B67,Feriados[],2,0),(H67-D67)-(G67-E67),"")),"")</f>
        <v/>
      </c>
      <c r="N67" s="38" t="str">
        <f t="shared" si="8"/>
        <v>Qua</v>
      </c>
      <c r="O67" s="112">
        <f t="shared" si="9"/>
        <v>4.166666666666663E-2</v>
      </c>
      <c r="P67" s="113" t="str">
        <f>IF(B67=_xlfn.XLOOKUP(B67,Feriados[FE Oficial],Feriados[FE Talvez],"",0),"",IF(B67&lt;$T$1,"",IF(Q67="Consulta","",IF(Q67="Compensado","",IF(N67="Sáb","",IF(S67&lt;&gt;"",(S67-R67)-(($AB$1-O67)-(D67-$Z$4)),IF(O67&gt;$AB$1,O67-$AB$1,IF(C67&gt;$Z$4,C67-$Z$4,IF(AND(N67="Sex",G67&lt;&gt;"",H67=""),$Z$3-G67,IF(AND(G67&lt;&gt;"",H67=""),$Z$3-G67,IF(AND(N67="Sex",H67&lt;$Y$3),$Z$3-H67,IF(AND(N67&lt;&gt;"Sex",H67&gt;$AA$8),"",IF(AND(N67="Sex",H67&gt;$Z$8),"",IF(AND(N67&lt;&gt;"Sex",I67&gt;$Z$8),$Z$8-H67,IF(AND(N67&lt;&gt;"Sex",H67&lt;$Y$8),$Z$8-H67,"")))))))))))))))</f>
        <v/>
      </c>
      <c r="Q67" s="33"/>
      <c r="R67" s="33"/>
      <c r="S67" s="33"/>
    </row>
    <row r="68" spans="1:19" x14ac:dyDescent="0.25">
      <c r="A68" s="116" t="s">
        <v>194</v>
      </c>
      <c r="B68" s="32">
        <v>43819</v>
      </c>
      <c r="C68" s="39">
        <f t="shared" si="5"/>
        <v>0.33333333333333331</v>
      </c>
      <c r="D68" s="33">
        <v>0.29166666666666669</v>
      </c>
      <c r="E68" s="33">
        <v>0.5</v>
      </c>
      <c r="F68" s="39">
        <f t="shared" si="6"/>
        <v>0.54166666666666663</v>
      </c>
      <c r="G68" s="33">
        <v>0.54166666666666663</v>
      </c>
      <c r="H68" s="33">
        <v>0.78055555555555556</v>
      </c>
      <c r="I68" s="39">
        <f>IFERROR(IF(B68=VLOOKUP(B68,Feriados[],2,0),H68,IF(N68="Sáb",H68,IF(AND(B68&lt;$T$1,H68&lt;=$AA$3),$Z$3,IF(AND(N68="Sex",H68&gt;$AA$3),H68,IF(H68&lt;=$AA$3,$Z$3,IF(H68&lt;=$AA$8,$Z$8,H68)))))),IF(N68="Sáb",H68,IF(AND(B68&lt;$T$1,H68&lt;=$AA$3),$Z$3,IF(AND(N68="Sex",H68&gt;$AA$3),H68,IF(H68&lt;=$AA$3,$Z$3,IF(H68&lt;=$AA$8,$Z$8,H68))))))</f>
        <v>0.78055555555555556</v>
      </c>
      <c r="J68" s="33">
        <f t="shared" si="7"/>
        <v>0.375</v>
      </c>
      <c r="K68" s="33">
        <f>IFERROR(IF(H68="","",IF(B68=VLOOKUP(B68,Feriados[],2,0),(H68-D68)-(G68-E68),IF(D68&lt;=$Y$4,(I68-D68)-(G68-E68),(I68-C68)-(F68-E68)))),IF(AND(D68&lt;=$Y$4,F68-E68=$AB$1),(I68-D68)-(F68-E68),IF(D68&lt;$Y$4,(I68-D68)-(G68-E68),(I68-C68)-(F68-E68))))</f>
        <v>0.44722222222222224</v>
      </c>
      <c r="L68" s="40">
        <f>IF(B68=_xlfn.XLOOKUP(B68,Feriados[FE Oficial],Feriados[FE Talvez],"",0),"",IF(Q68="Compensado","",IF(AND(N68="Sex",D68&lt;$Y$4),($Z$4-D68)+$AB$1-(F68-E68)+(I68-$Z$3),IF(AND(N68="Sex",I68&gt;$Z$3),($AB$1-(F68-E68))+(I68-$Z$3),IF(AND(N68="Sex",E68&lt;&gt;"",D68&lt;$Y$4),($Z$4-D68)+$AB$1-(F68-E68)+(I68-$Z$3),IF(N68="Sáb",(I68-D68)-(G68-E68)-(S68-R68),IF(AND(B68&lt;$T$1,I68&gt;$Z$3),H68-$Z$3,IF(D68&lt;$Y$4,($Z$4-D68)+($AB$1-(F68-E68))+(I68-$Z$8)+(S68-R68),IF(AND(S68&lt;&gt;"",D68&gt;$Z$4),(S68-R68)-($AB$1-(F68-E68)),IF(AND(S68&lt;&gt;"",D68&lt;$Y$4),(S68-R68)-($AB$1-(F68-E68)+($Z$4-D68)),IF(I68&gt;$Z$8,($AB$1-(F68-E68))+(I68-$Z$8),IF(AND(N68="Sex",(F68-E68)&lt;($AB$1-$W$1)),($AB$1-(F68-E68)),IF(AND(O68&gt;($AB$1-$W$1),D68&gt;$Z$4),"",IF(AND(B68&gt;=$T$1,(F68-E68)&gt;($AB$1-$W$1)),"",IF(AND(D68&gt;=$Y$4,I68=$Z$8,S68=""),($AB$1-(F68-E68)),IF(AND(P68&lt;&gt;"",S68&lt;&gt;""),I68-$Z$8,IF(AND(P68&lt;&gt;"",D68&gt;$Y$4),$AB$1-(F68-E68),"")))))))))))))))))</f>
        <v>7.2222222222222215E-2</v>
      </c>
      <c r="M68" s="107" t="str">
        <f>IFERROR(IF(H68="","",IF(B68=VLOOKUP(B68,Feriados[],2,0),(H68-D68)-(G68-E68),"")),"")</f>
        <v/>
      </c>
      <c r="N68" s="38" t="str">
        <f t="shared" si="8"/>
        <v>Qui</v>
      </c>
      <c r="O68" s="112">
        <f t="shared" si="9"/>
        <v>4.166666666666663E-2</v>
      </c>
      <c r="P68" s="113" t="str">
        <f>IF(B68=_xlfn.XLOOKUP(B68,Feriados[FE Oficial],Feriados[FE Talvez],"",0),"",IF(B68&lt;$T$1,"",IF(Q68="Consulta","",IF(Q68="Compensado","",IF(N68="Sáb","",IF(S68&lt;&gt;"",(S68-R68)-(($AB$1-O68)-(D68-$Z$4)),IF(O68&gt;$AB$1,O68-$AB$1,IF(C68&gt;$Z$4,C68-$Z$4,IF(AND(N68="Sex",G68&lt;&gt;"",H68=""),$Z$3-G68,IF(AND(G68&lt;&gt;"",H68=""),$Z$3-G68,IF(AND(N68="Sex",H68&lt;$Y$3),$Z$3-H68,IF(AND(N68&lt;&gt;"Sex",H68&gt;$AA$8),"",IF(AND(N68="Sex",H68&gt;$Z$8),"",IF(AND(N68&lt;&gt;"Sex",I68&gt;$Z$8),$Z$8-H68,IF(AND(N68&lt;&gt;"Sex",H68&lt;$Y$8),$Z$8-H68,"")))))))))))))))</f>
        <v/>
      </c>
      <c r="Q68" s="33"/>
      <c r="R68" s="33"/>
      <c r="S68" s="33"/>
    </row>
    <row r="69" spans="1:19" x14ac:dyDescent="0.25">
      <c r="A69" s="116" t="s">
        <v>190</v>
      </c>
      <c r="B69" s="32">
        <v>43819</v>
      </c>
      <c r="C69" s="39">
        <f t="shared" si="5"/>
        <v>0.33333333333333331</v>
      </c>
      <c r="D69" s="33">
        <v>0.3298611111111111</v>
      </c>
      <c r="E69" s="33">
        <v>0.48125000000000001</v>
      </c>
      <c r="F69" s="39">
        <f t="shared" si="6"/>
        <v>0.5229166666666667</v>
      </c>
      <c r="G69" s="33">
        <v>0.51944444444444449</v>
      </c>
      <c r="H69" s="33">
        <v>0.79375000000000007</v>
      </c>
      <c r="I69" s="39">
        <f>IFERROR(IF(B69=VLOOKUP(B69,Feriados[],2,0),H69,IF(N69="Sáb",H69,IF(AND(B69&lt;$T$1,H69&lt;=$AA$3),$Z$3,IF(AND(N69="Sex",H69&gt;$AA$3),H69,IF(H69&lt;=$AA$3,$Z$3,IF(H69&lt;=$AA$8,$Z$8,H69)))))),IF(N69="Sáb",H69,IF(AND(B69&lt;$T$1,H69&lt;=$AA$3),$Z$3,IF(AND(N69="Sex",H69&gt;$AA$3),H69,IF(H69&lt;=$AA$3,$Z$3,IF(H69&lt;=$AA$8,$Z$8,H69))))))</f>
        <v>0.79375000000000007</v>
      </c>
      <c r="J69" s="33">
        <f t="shared" si="7"/>
        <v>0.375</v>
      </c>
      <c r="K69" s="33">
        <f>IFERROR(IF(H69="","",IF(B69=VLOOKUP(B69,Feriados[],2,0),(H69-D69)-(G69-E69),IF(D69&lt;=$Y$4,(I69-D69)-(G69-E69),(I69-C69)-(F69-E69)))),IF(AND(D69&lt;=$Y$4,F69-E69=$AB$1),(I69-D69)-(F69-E69),IF(D69&lt;$Y$4,(I69-D69)-(G69-E69),(I69-C69)-(F69-E69))))</f>
        <v>0.41875000000000007</v>
      </c>
      <c r="L69" s="40">
        <f>IF(B69=_xlfn.XLOOKUP(B69,Feriados[FE Oficial],Feriados[FE Talvez],"",0),"",IF(Q69="Compensado","",IF(AND(N69="Sex",D69&lt;$Y$4),($Z$4-D69)+$AB$1-(F69-E69)+(I69-$Z$3),IF(AND(N69="Sex",I69&gt;$Z$3),($AB$1-(F69-E69))+(I69-$Z$3),IF(AND(N69="Sex",E69&lt;&gt;"",D69&lt;$Y$4),($Z$4-D69)+$AB$1-(F69-E69)+(I69-$Z$3),IF(N69="Sáb",(I69-D69)-(G69-E69)-(S69-R69),IF(AND(B69&lt;$T$1,I69&gt;$Z$3),H69-$Z$3,IF(D69&lt;$Y$4,($Z$4-D69)+($AB$1-(F69-E69))+(I69-$Z$8)+(S69-R69),IF(AND(S69&lt;&gt;"",D69&gt;$Z$4),(S69-R69)-($AB$1-(F69-E69)),IF(AND(S69&lt;&gt;"",D69&lt;$Y$4),(S69-R69)-($AB$1-(F69-E69)+($Z$4-D69)),IF(I69&gt;$Z$8,($AB$1-(F69-E69))+(I69-$Z$8),IF(AND(N69="Sex",(F69-E69)&lt;($AB$1-$W$1)),($AB$1-(F69-E69)),IF(AND(O69&gt;($AB$1-$W$1),D69&gt;$Z$4),"",IF(AND(B69&gt;=$T$1,(F69-E69)&gt;($AB$1-$W$1)),"",IF(AND(D69&gt;=$Y$4,I69=$Z$8,S69=""),($AB$1-(F69-E69)),IF(AND(P69&lt;&gt;"",S69&lt;&gt;""),I69-$Z$8,IF(AND(P69&lt;&gt;"",D69&gt;$Y$4),$AB$1-(F69-E69),"")))))))))))))))))</f>
        <v>4.3750000000000046E-2</v>
      </c>
      <c r="M69" s="107" t="str">
        <f>IFERROR(IF(H69="","",IF(B69=VLOOKUP(B69,Feriados[],2,0),(H69-D69)-(G69-E69),"")),"")</f>
        <v/>
      </c>
      <c r="N69" s="38" t="str">
        <f t="shared" si="8"/>
        <v>Qui</v>
      </c>
      <c r="O69" s="112">
        <f t="shared" si="9"/>
        <v>3.8194444444444475E-2</v>
      </c>
      <c r="P69" s="113" t="str">
        <f>IF(B69=_xlfn.XLOOKUP(B69,Feriados[FE Oficial],Feriados[FE Talvez],"",0),"",IF(B69&lt;$T$1,"",IF(Q69="Consulta","",IF(Q69="Compensado","",IF(N69="Sáb","",IF(S69&lt;&gt;"",(S69-R69)-(($AB$1-O69)-(D69-$Z$4)),IF(O69&gt;$AB$1,O69-$AB$1,IF(C69&gt;$Z$4,C69-$Z$4,IF(AND(N69="Sex",G69&lt;&gt;"",H69=""),$Z$3-G69,IF(AND(G69&lt;&gt;"",H69=""),$Z$3-G69,IF(AND(N69="Sex",H69&lt;$Y$3),$Z$3-H69,IF(AND(N69&lt;&gt;"Sex",H69&gt;$AA$8),"",IF(AND(N69="Sex",H69&gt;$Z$8),"",IF(AND(N69&lt;&gt;"Sex",I69&gt;$Z$8),$Z$8-H69,IF(AND(N69&lt;&gt;"Sex",H69&lt;$Y$8),$Z$8-H69,"")))))))))))))))</f>
        <v/>
      </c>
      <c r="Q69" s="33"/>
      <c r="R69" s="33"/>
      <c r="S69" s="33"/>
    </row>
    <row r="70" spans="1:19" x14ac:dyDescent="0.25">
      <c r="A70" s="116" t="s">
        <v>175</v>
      </c>
      <c r="B70" s="32">
        <v>43819</v>
      </c>
      <c r="C70" s="39">
        <f t="shared" si="5"/>
        <v>0.33333333333333331</v>
      </c>
      <c r="D70" s="33">
        <v>0.33333333333333331</v>
      </c>
      <c r="E70" s="33">
        <v>0.5</v>
      </c>
      <c r="F70" s="39">
        <f t="shared" si="6"/>
        <v>0.54166666666666663</v>
      </c>
      <c r="G70" s="33">
        <v>0.54166666666666663</v>
      </c>
      <c r="H70" s="33">
        <v>0.82638888888888884</v>
      </c>
      <c r="I70" s="39">
        <f>IFERROR(IF(B70=VLOOKUP(B70,Feriados[],2,0),H70,IF(N70="Sáb",H70,IF(AND(B70&lt;$T$1,H70&lt;=$AA$3),$Z$3,IF(AND(N70="Sex",H70&gt;$AA$3),H70,IF(H70&lt;=$AA$3,$Z$3,IF(H70&lt;=$AA$8,$Z$8,H70)))))),IF(N70="Sáb",H70,IF(AND(B70&lt;$T$1,H70&lt;=$AA$3),$Z$3,IF(AND(N70="Sex",H70&gt;$AA$3),H70,IF(H70&lt;=$AA$3,$Z$3,IF(H70&lt;=$AA$8,$Z$8,H70))))))</f>
        <v>0.82638888888888884</v>
      </c>
      <c r="J70" s="33">
        <f t="shared" si="7"/>
        <v>0.375</v>
      </c>
      <c r="K70" s="33">
        <f>IFERROR(IF(H70="","",IF(B70=VLOOKUP(B70,Feriados[],2,0),(H70-D70)-(G70-E70),IF(D70&lt;=$Y$4,(I70-D70)-(G70-E70),(I70-C70)-(F70-E70)))),IF(AND(D70&lt;=$Y$4,F70-E70=$AB$1),(I70-D70)-(F70-E70),IF(D70&lt;$Y$4,(I70-D70)-(G70-E70),(I70-C70)-(F70-E70))))</f>
        <v>0.4513888888888889</v>
      </c>
      <c r="L70" s="40">
        <f>IF(B70=_xlfn.XLOOKUP(B70,Feriados[FE Oficial],Feriados[FE Talvez],"",0),"",IF(Q70="Compensado","",IF(AND(N70="Sex",D70&lt;$Y$4),($Z$4-D70)+$AB$1-(F70-E70)+(I70-$Z$3),IF(AND(N70="Sex",I70&gt;$Z$3),($AB$1-(F70-E70))+(I70-$Z$3),IF(AND(N70="Sex",E70&lt;&gt;"",D70&lt;$Y$4),($Z$4-D70)+$AB$1-(F70-E70)+(I70-$Z$3),IF(N70="Sáb",(I70-D70)-(G70-E70)-(S70-R70),IF(AND(B70&lt;$T$1,I70&gt;$Z$3),H70-$Z$3,IF(D70&lt;$Y$4,($Z$4-D70)+($AB$1-(F70-E70))+(I70-$Z$8)+(S70-R70),IF(AND(S70&lt;&gt;"",D70&gt;$Z$4),(S70-R70)-($AB$1-(F70-E70)),IF(AND(S70&lt;&gt;"",D70&lt;$Y$4),(S70-R70)-($AB$1-(F70-E70)+($Z$4-D70)),IF(I70&gt;$Z$8,($AB$1-(F70-E70))+(I70-$Z$8),IF(AND(N70="Sex",(F70-E70)&lt;($AB$1-$W$1)),($AB$1-(F70-E70)),IF(AND(O70&gt;($AB$1-$W$1),D70&gt;$Z$4),"",IF(AND(B70&gt;=$T$1,(F70-E70)&gt;($AB$1-$W$1)),"",IF(AND(D70&gt;=$Y$4,I70=$Z$8,S70=""),($AB$1-(F70-E70)),IF(AND(P70&lt;&gt;"",S70&lt;&gt;""),I70-$Z$8,IF(AND(P70&lt;&gt;"",D70&gt;$Y$4),$AB$1-(F70-E70),"")))))))))))))))))</f>
        <v>7.6388888888888867E-2</v>
      </c>
      <c r="M70" s="107" t="str">
        <f>IFERROR(IF(H70="","",IF(B70=VLOOKUP(B70,Feriados[],2,0),(H70-D70)-(G70-E70),"")),"")</f>
        <v/>
      </c>
      <c r="N70" s="38" t="str">
        <f t="shared" si="8"/>
        <v>Qui</v>
      </c>
      <c r="O70" s="112">
        <f t="shared" si="9"/>
        <v>4.166666666666663E-2</v>
      </c>
      <c r="P70" s="113" t="str">
        <f>IF(B70=_xlfn.XLOOKUP(B70,Feriados[FE Oficial],Feriados[FE Talvez],"",0),"",IF(B70&lt;$T$1,"",IF(Q70="Consulta","",IF(Q70="Compensado","",IF(N70="Sáb","",IF(S70&lt;&gt;"",(S70-R70)-(($AB$1-O70)-(D70-$Z$4)),IF(O70&gt;$AB$1,O70-$AB$1,IF(C70&gt;$Z$4,C70-$Z$4,IF(AND(N70="Sex",G70&lt;&gt;"",H70=""),$Z$3-G70,IF(AND(G70&lt;&gt;"",H70=""),$Z$3-G70,IF(AND(N70="Sex",H70&lt;$Y$3),$Z$3-H70,IF(AND(N70&lt;&gt;"Sex",H70&gt;$AA$8),"",IF(AND(N70="Sex",H70&gt;$Z$8),"",IF(AND(N70&lt;&gt;"Sex",I70&gt;$Z$8),$Z$8-H70,IF(AND(N70&lt;&gt;"Sex",H70&lt;$Y$8),$Z$8-H70,"")))))))))))))))</f>
        <v/>
      </c>
      <c r="Q70" s="33"/>
      <c r="R70" s="33"/>
      <c r="S70" s="33"/>
    </row>
    <row r="71" spans="1:19" x14ac:dyDescent="0.25">
      <c r="A71" s="116" t="s">
        <v>182</v>
      </c>
      <c r="B71" s="32">
        <v>43819</v>
      </c>
      <c r="C71" s="39">
        <f t="shared" si="5"/>
        <v>0.33333333333333331</v>
      </c>
      <c r="D71" s="33">
        <v>0.33333333333333331</v>
      </c>
      <c r="E71" s="33">
        <v>0.5</v>
      </c>
      <c r="F71" s="39">
        <f t="shared" si="6"/>
        <v>0.54166666666666663</v>
      </c>
      <c r="G71" s="33">
        <v>0.54166666666666663</v>
      </c>
      <c r="H71" s="33">
        <v>0.82638888888888884</v>
      </c>
      <c r="I71" s="39">
        <f>IFERROR(IF(B71=VLOOKUP(B71,Feriados[],2,0),H71,IF(N71="Sáb",H71,IF(AND(B71&lt;$T$1,H71&lt;=$AA$3),$Z$3,IF(AND(N71="Sex",H71&gt;$AA$3),H71,IF(H71&lt;=$AA$3,$Z$3,IF(H71&lt;=$AA$8,$Z$8,H71)))))),IF(N71="Sáb",H71,IF(AND(B71&lt;$T$1,H71&lt;=$AA$3),$Z$3,IF(AND(N71="Sex",H71&gt;$AA$3),H71,IF(H71&lt;=$AA$3,$Z$3,IF(H71&lt;=$AA$8,$Z$8,H71))))))</f>
        <v>0.82638888888888884</v>
      </c>
      <c r="J71" s="33">
        <f t="shared" si="7"/>
        <v>0.375</v>
      </c>
      <c r="K71" s="33">
        <f>IFERROR(IF(H71="","",IF(B71=VLOOKUP(B71,Feriados[],2,0),(H71-D71)-(G71-E71),IF(D71&lt;=$Y$4,(I71-D71)-(G71-E71),(I71-C71)-(F71-E71)))),IF(AND(D71&lt;=$Y$4,F71-E71=$AB$1),(I71-D71)-(F71-E71),IF(D71&lt;$Y$4,(I71-D71)-(G71-E71),(I71-C71)-(F71-E71))))</f>
        <v>0.4513888888888889</v>
      </c>
      <c r="L71" s="40">
        <f>IF(B71=_xlfn.XLOOKUP(B71,Feriados[FE Oficial],Feriados[FE Talvez],"",0),"",IF(Q71="Compensado","",IF(AND(N71="Sex",D71&lt;$Y$4),($Z$4-D71)+$AB$1-(F71-E71)+(I71-$Z$3),IF(AND(N71="Sex",I71&gt;$Z$3),($AB$1-(F71-E71))+(I71-$Z$3),IF(AND(N71="Sex",E71&lt;&gt;"",D71&lt;$Y$4),($Z$4-D71)+$AB$1-(F71-E71)+(I71-$Z$3),IF(N71="Sáb",(I71-D71)-(G71-E71)-(S71-R71),IF(AND(B71&lt;$T$1,I71&gt;$Z$3),H71-$Z$3,IF(D71&lt;$Y$4,($Z$4-D71)+($AB$1-(F71-E71))+(I71-$Z$8)+(S71-R71),IF(AND(S71&lt;&gt;"",D71&gt;$Z$4),(S71-R71)-($AB$1-(F71-E71)),IF(AND(S71&lt;&gt;"",D71&lt;$Y$4),(S71-R71)-($AB$1-(F71-E71)+($Z$4-D71)),IF(I71&gt;$Z$8,($AB$1-(F71-E71))+(I71-$Z$8),IF(AND(N71="Sex",(F71-E71)&lt;($AB$1-$W$1)),($AB$1-(F71-E71)),IF(AND(O71&gt;($AB$1-$W$1),D71&gt;$Z$4),"",IF(AND(B71&gt;=$T$1,(F71-E71)&gt;($AB$1-$W$1)),"",IF(AND(D71&gt;=$Y$4,I71=$Z$8,S71=""),($AB$1-(F71-E71)),IF(AND(P71&lt;&gt;"",S71&lt;&gt;""),I71-$Z$8,IF(AND(P71&lt;&gt;"",D71&gt;$Y$4),$AB$1-(F71-E71),"")))))))))))))))))</f>
        <v>7.6388888888888867E-2</v>
      </c>
      <c r="M71" s="107" t="str">
        <f>IFERROR(IF(H71="","",IF(B71=VLOOKUP(B71,Feriados[],2,0),(H71-D71)-(G71-E71),"")),"")</f>
        <v/>
      </c>
      <c r="N71" s="38" t="str">
        <f t="shared" si="8"/>
        <v>Qui</v>
      </c>
      <c r="O71" s="112">
        <f t="shared" si="9"/>
        <v>4.166666666666663E-2</v>
      </c>
      <c r="P71" s="113" t="str">
        <f>IF(B71=_xlfn.XLOOKUP(B71,Feriados[FE Oficial],Feriados[FE Talvez],"",0),"",IF(B71&lt;$T$1,"",IF(Q71="Consulta","",IF(Q71="Compensado","",IF(N71="Sáb","",IF(S71&lt;&gt;"",(S71-R71)-(($AB$1-O71)-(D71-$Z$4)),IF(O71&gt;$AB$1,O71-$AB$1,IF(C71&gt;$Z$4,C71-$Z$4,IF(AND(N71="Sex",G71&lt;&gt;"",H71=""),$Z$3-G71,IF(AND(G71&lt;&gt;"",H71=""),$Z$3-G71,IF(AND(N71="Sex",H71&lt;$Y$3),$Z$3-H71,IF(AND(N71&lt;&gt;"Sex",H71&gt;$AA$8),"",IF(AND(N71="Sex",H71&gt;$Z$8),"",IF(AND(N71&lt;&gt;"Sex",I71&gt;$Z$8),$Z$8-H71,IF(AND(N71&lt;&gt;"Sex",H71&lt;$Y$8),$Z$8-H71,"")))))))))))))))</f>
        <v/>
      </c>
      <c r="Q71" s="33"/>
      <c r="R71" s="33"/>
      <c r="S71" s="33"/>
    </row>
    <row r="72" spans="1:19" x14ac:dyDescent="0.25">
      <c r="A72" s="116" t="s">
        <v>197</v>
      </c>
      <c r="B72" s="32">
        <v>43819</v>
      </c>
      <c r="C72" s="39">
        <f t="shared" si="5"/>
        <v>0.33333333333333331</v>
      </c>
      <c r="D72" s="33">
        <v>0.33333333333333331</v>
      </c>
      <c r="E72" s="33">
        <v>0.5</v>
      </c>
      <c r="F72" s="39">
        <f t="shared" si="6"/>
        <v>0.54166666666666663</v>
      </c>
      <c r="G72" s="33">
        <v>0.54166666666666663</v>
      </c>
      <c r="H72" s="33">
        <v>0.75</v>
      </c>
      <c r="I72" s="39">
        <f>IFERROR(IF(B72=VLOOKUP(B72,Feriados[],2,0),H72,IF(N72="Sáb",H72,IF(AND(B72&lt;$T$1,H72&lt;=$AA$3),$Z$3,IF(AND(N72="Sex",H72&gt;$AA$3),H72,IF(H72&lt;=$AA$3,$Z$3,IF(H72&lt;=$AA$8,$Z$8,H72)))))),IF(N72="Sáb",H72,IF(AND(B72&lt;$T$1,H72&lt;=$AA$3),$Z$3,IF(AND(N72="Sex",H72&gt;$AA$3),H72,IF(H72&lt;=$AA$3,$Z$3,IF(H72&lt;=$AA$8,$Z$8,H72))))))</f>
        <v>0.75</v>
      </c>
      <c r="J72" s="33">
        <f t="shared" si="7"/>
        <v>0.37500000000000006</v>
      </c>
      <c r="K72" s="33">
        <f>IFERROR(IF(H72="","",IF(B72=VLOOKUP(B72,Feriados[],2,0),(H72-D72)-(G72-E72),IF(D72&lt;=$Y$4,(I72-D72)-(G72-E72),(I72-C72)-(F72-E72)))),IF(AND(D72&lt;=$Y$4,F72-E72=$AB$1),(I72-D72)-(F72-E72),IF(D72&lt;$Y$4,(I72-D72)-(G72-E72),(I72-C72)-(F72-E72))))</f>
        <v>0.37500000000000006</v>
      </c>
      <c r="L72" s="40" t="str">
        <f>IF(B72=_xlfn.XLOOKUP(B72,Feriados[FE Oficial],Feriados[FE Talvez],"",0),"",IF(Q72="Compensado","",IF(AND(N72="Sex",D72&lt;$Y$4),($Z$4-D72)+$AB$1-(F72-E72)+(I72-$Z$3),IF(AND(N72="Sex",I72&gt;$Z$3),($AB$1-(F72-E72))+(I72-$Z$3),IF(AND(N72="Sex",E72&lt;&gt;"",D72&lt;$Y$4),($Z$4-D72)+$AB$1-(F72-E72)+(I72-$Z$3),IF(N72="Sáb",(I72-D72)-(G72-E72)-(S72-R72),IF(AND(B72&lt;$T$1,I72&gt;$Z$3),H72-$Z$3,IF(D72&lt;$Y$4,($Z$4-D72)+($AB$1-(F72-E72))+(I72-$Z$8)+(S72-R72),IF(AND(S72&lt;&gt;"",D72&gt;$Z$4),(S72-R72)-($AB$1-(F72-E72)),IF(AND(S72&lt;&gt;"",D72&lt;$Y$4),(S72-R72)-($AB$1-(F72-E72)+($Z$4-D72)),IF(I72&gt;$Z$8,($AB$1-(F72-E72))+(I72-$Z$8),IF(AND(N72="Sex",(F72-E72)&lt;($AB$1-$W$1)),($AB$1-(F72-E72)),IF(AND(O72&gt;($AB$1-$W$1),D72&gt;$Z$4),"",IF(AND(B72&gt;=$T$1,(F72-E72)&gt;($AB$1-$W$1)),"",IF(AND(D72&gt;=$Y$4,I72=$Z$8,S72=""),($AB$1-(F72-E72)),IF(AND(P72&lt;&gt;"",S72&lt;&gt;""),I72-$Z$8,IF(AND(P72&lt;&gt;"",D72&gt;$Y$4),$AB$1-(F72-E72),"")))))))))))))))))</f>
        <v/>
      </c>
      <c r="M72" s="107" t="str">
        <f>IFERROR(IF(H72="","",IF(B72=VLOOKUP(B72,Feriados[],2,0),(H72-D72)-(G72-E72),"")),"")</f>
        <v/>
      </c>
      <c r="N72" s="38" t="str">
        <f t="shared" si="8"/>
        <v>Qui</v>
      </c>
      <c r="O72" s="112">
        <f t="shared" si="9"/>
        <v>4.166666666666663E-2</v>
      </c>
      <c r="P72" s="113" t="str">
        <f>IF(B72=_xlfn.XLOOKUP(B72,Feriados[FE Oficial],Feriados[FE Talvez],"",0),"",IF(B72&lt;$T$1,"",IF(Q72="Consulta","",IF(Q72="Compensado","",IF(N72="Sáb","",IF(S72&lt;&gt;"",(S72-R72)-(($AB$1-O72)-(D72-$Z$4)),IF(O72&gt;$AB$1,O72-$AB$1,IF(C72&gt;$Z$4,C72-$Z$4,IF(AND(N72="Sex",G72&lt;&gt;"",H72=""),$Z$3-G72,IF(AND(G72&lt;&gt;"",H72=""),$Z$3-G72,IF(AND(N72="Sex",H72&lt;$Y$3),$Z$3-H72,IF(AND(N72&lt;&gt;"Sex",H72&gt;$AA$8),"",IF(AND(N72="Sex",H72&gt;$Z$8),"",IF(AND(N72&lt;&gt;"Sex",I72&gt;$Z$8),$Z$8-H72,IF(AND(N72&lt;&gt;"Sex",H72&lt;$Y$8),$Z$8-H72,"")))))))))))))))</f>
        <v/>
      </c>
      <c r="Q72" s="33"/>
      <c r="R72" s="33"/>
      <c r="S72" s="33"/>
    </row>
    <row r="73" spans="1:19" x14ac:dyDescent="0.25">
      <c r="A73" s="116" t="s">
        <v>191</v>
      </c>
      <c r="B73" s="32">
        <v>43819</v>
      </c>
      <c r="C73" s="39">
        <f t="shared" si="5"/>
        <v>0.33333333333333331</v>
      </c>
      <c r="D73" s="33">
        <v>0.33333333333333331</v>
      </c>
      <c r="E73" s="33">
        <v>0.5</v>
      </c>
      <c r="F73" s="39">
        <f t="shared" si="6"/>
        <v>0.54166666666666663</v>
      </c>
      <c r="G73" s="33">
        <v>0.54166666666666663</v>
      </c>
      <c r="H73" s="33">
        <v>0.75</v>
      </c>
      <c r="I73" s="39">
        <f>IFERROR(IF(B73=VLOOKUP(B73,Feriados[],2,0),H73,IF(N73="Sáb",H73,IF(AND(B73&lt;$T$1,H73&lt;=$AA$3),$Z$3,IF(AND(N73="Sex",H73&gt;$AA$3),H73,IF(H73&lt;=$AA$3,$Z$3,IF(H73&lt;=$AA$8,$Z$8,H73)))))),IF(N73="Sáb",H73,IF(AND(B73&lt;$T$1,H73&lt;=$AA$3),$Z$3,IF(AND(N73="Sex",H73&gt;$AA$3),H73,IF(H73&lt;=$AA$3,$Z$3,IF(H73&lt;=$AA$8,$Z$8,H73))))))</f>
        <v>0.75</v>
      </c>
      <c r="J73" s="33">
        <f t="shared" si="7"/>
        <v>0.37500000000000006</v>
      </c>
      <c r="K73" s="33">
        <f>IFERROR(IF(H73="","",IF(B73=VLOOKUP(B73,Feriados[],2,0),(H73-D73)-(G73-E73),IF(D73&lt;=$Y$4,(I73-D73)-(G73-E73),(I73-C73)-(F73-E73)))),IF(AND(D73&lt;=$Y$4,F73-E73=$AB$1),(I73-D73)-(F73-E73),IF(D73&lt;$Y$4,(I73-D73)-(G73-E73),(I73-C73)-(F73-E73))))</f>
        <v>0.37500000000000006</v>
      </c>
      <c r="L73" s="40" t="str">
        <f>IF(B73=_xlfn.XLOOKUP(B73,Feriados[FE Oficial],Feriados[FE Talvez],"",0),"",IF(Q73="Compensado","",IF(AND(N73="Sex",D73&lt;$Y$4),($Z$4-D73)+$AB$1-(F73-E73)+(I73-$Z$3),IF(AND(N73="Sex",I73&gt;$Z$3),($AB$1-(F73-E73))+(I73-$Z$3),IF(AND(N73="Sex",E73&lt;&gt;"",D73&lt;$Y$4),($Z$4-D73)+$AB$1-(F73-E73)+(I73-$Z$3),IF(N73="Sáb",(I73-D73)-(G73-E73)-(S73-R73),IF(AND(B73&lt;$T$1,I73&gt;$Z$3),H73-$Z$3,IF(D73&lt;$Y$4,($Z$4-D73)+($AB$1-(F73-E73))+(I73-$Z$8)+(S73-R73),IF(AND(S73&lt;&gt;"",D73&gt;$Z$4),(S73-R73)-($AB$1-(F73-E73)),IF(AND(S73&lt;&gt;"",D73&lt;$Y$4),(S73-R73)-($AB$1-(F73-E73)+($Z$4-D73)),IF(I73&gt;$Z$8,($AB$1-(F73-E73))+(I73-$Z$8),IF(AND(N73="Sex",(F73-E73)&lt;($AB$1-$W$1)),($AB$1-(F73-E73)),IF(AND(O73&gt;($AB$1-$W$1),D73&gt;$Z$4),"",IF(AND(B73&gt;=$T$1,(F73-E73)&gt;($AB$1-$W$1)),"",IF(AND(D73&gt;=$Y$4,I73=$Z$8,S73=""),($AB$1-(F73-E73)),IF(AND(P73&lt;&gt;"",S73&lt;&gt;""),I73-$Z$8,IF(AND(P73&lt;&gt;"",D73&gt;$Y$4),$AB$1-(F73-E73),"")))))))))))))))))</f>
        <v/>
      </c>
      <c r="M73" s="107" t="str">
        <f>IFERROR(IF(H73="","",IF(B73=VLOOKUP(B73,Feriados[],2,0),(H73-D73)-(G73-E73),"")),"")</f>
        <v/>
      </c>
      <c r="N73" s="38" t="str">
        <f t="shared" si="8"/>
        <v>Qui</v>
      </c>
      <c r="O73" s="112">
        <f t="shared" si="9"/>
        <v>4.166666666666663E-2</v>
      </c>
      <c r="P73" s="113" t="str">
        <f>IF(B73=_xlfn.XLOOKUP(B73,Feriados[FE Oficial],Feriados[FE Talvez],"",0),"",IF(B73&lt;$T$1,"",IF(Q73="Consulta","",IF(Q73="Compensado","",IF(N73="Sáb","",IF(S73&lt;&gt;"",(S73-R73)-(($AB$1-O73)-(D73-$Z$4)),IF(O73&gt;$AB$1,O73-$AB$1,IF(C73&gt;$Z$4,C73-$Z$4,IF(AND(N73="Sex",G73&lt;&gt;"",H73=""),$Z$3-G73,IF(AND(G73&lt;&gt;"",H73=""),$Z$3-G73,IF(AND(N73="Sex",H73&lt;$Y$3),$Z$3-H73,IF(AND(N73&lt;&gt;"Sex",H73&gt;$AA$8),"",IF(AND(N73="Sex",H73&gt;$Z$8),"",IF(AND(N73&lt;&gt;"Sex",I73&gt;$Z$8),$Z$8-H73,IF(AND(N73&lt;&gt;"Sex",H73&lt;$Y$8),$Z$8-H73,"")))))))))))))))</f>
        <v/>
      </c>
      <c r="Q73" s="33"/>
      <c r="R73" s="33"/>
      <c r="S73" s="33"/>
    </row>
    <row r="74" spans="1:19" x14ac:dyDescent="0.25">
      <c r="A74" s="116" t="s">
        <v>190</v>
      </c>
      <c r="B74" s="32">
        <v>43820</v>
      </c>
      <c r="C74" s="39">
        <f t="shared" si="5"/>
        <v>0.33333333333333331</v>
      </c>
      <c r="D74" s="33">
        <v>0.3298611111111111</v>
      </c>
      <c r="E74" s="33">
        <v>0.47916666666666669</v>
      </c>
      <c r="F74" s="39">
        <f t="shared" si="6"/>
        <v>0.52083333333333337</v>
      </c>
      <c r="G74" s="33">
        <v>0.52083333333333337</v>
      </c>
      <c r="H74" s="33">
        <v>0.71111111111111114</v>
      </c>
      <c r="I74" s="39">
        <f>IFERROR(IF(B74=VLOOKUP(B74,Feriados[],2,0),H74,IF(N74="Sáb",H74,IF(AND(B74&lt;$T$1,H74&lt;=$AA$3),$Z$3,IF(AND(N74="Sex",H74&gt;$AA$3),H74,IF(H74&lt;=$AA$3,$Z$3,IF(H74&lt;=$AA$8,$Z$8,H74)))))),IF(N74="Sáb",H74,IF(AND(B74&lt;$T$1,H74&lt;=$AA$3),$Z$3,IF(AND(N74="Sex",H74&gt;$AA$3),H74,IF(H74&lt;=$AA$3,$Z$3,IF(H74&lt;=$AA$8,$Z$8,H74))))))</f>
        <v>0.70833333333333337</v>
      </c>
      <c r="J74" s="33">
        <f t="shared" si="7"/>
        <v>0.33333333333333331</v>
      </c>
      <c r="K74" s="33">
        <f>IFERROR(IF(H74="","",IF(B74=VLOOKUP(B74,Feriados[],2,0),(H74-D74)-(G74-E74),IF(D74&lt;=$Y$4,(I74-D74)-(G74-E74),(I74-C74)-(F74-E74)))),IF(AND(D74&lt;=$Y$4,F74-E74=$AB$1),(I74-D74)-(F74-E74),IF(D74&lt;$Y$4,(I74-D74)-(G74-E74),(I74-C74)-(F74-E74))))</f>
        <v>0.33333333333333337</v>
      </c>
      <c r="L74" s="40" t="str">
        <f>IF(B74=_xlfn.XLOOKUP(B74,Feriados[FE Oficial],Feriados[FE Talvez],"",0),"",IF(Q74="Compensado","",IF(AND(N74="Sex",D74&lt;$Y$4),($Z$4-D74)+$AB$1-(F74-E74)+(I74-$Z$3),IF(AND(N74="Sex",I74&gt;$Z$3),($AB$1-(F74-E74))+(I74-$Z$3),IF(AND(N74="Sex",E74&lt;&gt;"",D74&lt;$Y$4),($Z$4-D74)+$AB$1-(F74-E74)+(I74-$Z$3),IF(N74="Sáb",(I74-D74)-(G74-E74)-(S74-R74),IF(AND(B74&lt;$T$1,I74&gt;$Z$3),H74-$Z$3,IF(D74&lt;$Y$4,($Z$4-D74)+($AB$1-(F74-E74))+(I74-$Z$8)+(S74-R74),IF(AND(S74&lt;&gt;"",D74&gt;$Z$4),(S74-R74)-($AB$1-(F74-E74)),IF(AND(S74&lt;&gt;"",D74&lt;$Y$4),(S74-R74)-($AB$1-(F74-E74)+($Z$4-D74)),IF(I74&gt;$Z$8,($AB$1-(F74-E74))+(I74-$Z$8),IF(AND(N74="Sex",(F74-E74)&lt;($AB$1-$W$1)),($AB$1-(F74-E74)),IF(AND(O74&gt;($AB$1-$W$1),D74&gt;$Z$4),"",IF(AND(B74&gt;=$T$1,(F74-E74)&gt;($AB$1-$W$1)),"",IF(AND(D74&gt;=$Y$4,I74=$Z$8,S74=""),($AB$1-(F74-E74)),IF(AND(P74&lt;&gt;"",S74&lt;&gt;""),I74-$Z$8,IF(AND(P74&lt;&gt;"",D74&gt;$Y$4),$AB$1-(F74-E74),"")))))))))))))))))</f>
        <v/>
      </c>
      <c r="M74" s="107" t="str">
        <f>IFERROR(IF(H74="","",IF(B74=VLOOKUP(B74,Feriados[],2,0),(H74-D74)-(G74-E74),"")),"")</f>
        <v/>
      </c>
      <c r="N74" s="38" t="str">
        <f t="shared" si="8"/>
        <v>Sex</v>
      </c>
      <c r="O74" s="112">
        <f t="shared" si="9"/>
        <v>4.1666666666666685E-2</v>
      </c>
      <c r="P74" s="113" t="str">
        <f>IF(B74=_xlfn.XLOOKUP(B74,Feriados[FE Oficial],Feriados[FE Talvez],"",0),"",IF(B74&lt;$T$1,"",IF(Q74="Consulta","",IF(Q74="Compensado","",IF(N74="Sáb","",IF(S74&lt;&gt;"",(S74-R74)-(($AB$1-O74)-(D74-$Z$4)),IF(O74&gt;$AB$1,O74-$AB$1,IF(C74&gt;$Z$4,C74-$Z$4,IF(AND(N74="Sex",G74&lt;&gt;"",H74=""),$Z$3-G74,IF(AND(G74&lt;&gt;"",H74=""),$Z$3-G74,IF(AND(N74="Sex",H74&lt;$Y$3),$Z$3-H74,IF(AND(N74&lt;&gt;"Sex",H74&gt;$AA$8),"",IF(AND(N74="Sex",H74&gt;$Z$8),"",IF(AND(N74&lt;&gt;"Sex",I74&gt;$Z$8),$Z$8-H74,IF(AND(N74&lt;&gt;"Sex",H74&lt;$Y$8),$Z$8-H74,"")))))))))))))))</f>
        <v/>
      </c>
      <c r="Q74" s="33"/>
      <c r="R74" s="33"/>
      <c r="S74" s="33"/>
    </row>
    <row r="75" spans="1:19" x14ac:dyDescent="0.25">
      <c r="A75" s="116" t="s">
        <v>175</v>
      </c>
      <c r="B75" s="32">
        <v>43820</v>
      </c>
      <c r="C75" s="39">
        <f t="shared" si="5"/>
        <v>0.33333333333333331</v>
      </c>
      <c r="D75" s="33">
        <v>0.33124999999999999</v>
      </c>
      <c r="E75" s="33">
        <v>0.5</v>
      </c>
      <c r="F75" s="39">
        <f t="shared" si="6"/>
        <v>0.54166666666666663</v>
      </c>
      <c r="G75" s="33">
        <v>0.54166666666666663</v>
      </c>
      <c r="H75" s="33">
        <v>0.71180555555555547</v>
      </c>
      <c r="I75" s="39">
        <f>IFERROR(IF(B75=VLOOKUP(B75,Feriados[],2,0),H75,IF(N75="Sáb",H75,IF(AND(B75&lt;$T$1,H75&lt;=$AA$3),$Z$3,IF(AND(N75="Sex",H75&gt;$AA$3),H75,IF(H75&lt;=$AA$3,$Z$3,IF(H75&lt;=$AA$8,$Z$8,H75)))))),IF(N75="Sáb",H75,IF(AND(B75&lt;$T$1,H75&lt;=$AA$3),$Z$3,IF(AND(N75="Sex",H75&gt;$AA$3),H75,IF(H75&lt;=$AA$3,$Z$3,IF(H75&lt;=$AA$8,$Z$8,H75))))))</f>
        <v>0.70833333333333337</v>
      </c>
      <c r="J75" s="33">
        <f t="shared" si="7"/>
        <v>0.33333333333333331</v>
      </c>
      <c r="K75" s="33">
        <f>IFERROR(IF(H75="","",IF(B75=VLOOKUP(B75,Feriados[],2,0),(H75-D75)-(G75-E75),IF(D75&lt;=$Y$4,(I75-D75)-(G75-E75),(I75-C75)-(F75-E75)))),IF(AND(D75&lt;=$Y$4,F75-E75=$AB$1),(I75-D75)-(F75-E75),IF(D75&lt;$Y$4,(I75-D75)-(G75-E75),(I75-C75)-(F75-E75))))</f>
        <v>0.33333333333333343</v>
      </c>
      <c r="L75" s="40" t="str">
        <f>IF(B75=_xlfn.XLOOKUP(B75,Feriados[FE Oficial],Feriados[FE Talvez],"",0),"",IF(Q75="Compensado","",IF(AND(N75="Sex",D75&lt;$Y$4),($Z$4-D75)+$AB$1-(F75-E75)+(I75-$Z$3),IF(AND(N75="Sex",I75&gt;$Z$3),($AB$1-(F75-E75))+(I75-$Z$3),IF(AND(N75="Sex",E75&lt;&gt;"",D75&lt;$Y$4),($Z$4-D75)+$AB$1-(F75-E75)+(I75-$Z$3),IF(N75="Sáb",(I75-D75)-(G75-E75)-(S75-R75),IF(AND(B75&lt;$T$1,I75&gt;$Z$3),H75-$Z$3,IF(D75&lt;$Y$4,($Z$4-D75)+($AB$1-(F75-E75))+(I75-$Z$8)+(S75-R75),IF(AND(S75&lt;&gt;"",D75&gt;$Z$4),(S75-R75)-($AB$1-(F75-E75)),IF(AND(S75&lt;&gt;"",D75&lt;$Y$4),(S75-R75)-($AB$1-(F75-E75)+($Z$4-D75)),IF(I75&gt;$Z$8,($AB$1-(F75-E75))+(I75-$Z$8),IF(AND(N75="Sex",(F75-E75)&lt;($AB$1-$W$1)),($AB$1-(F75-E75)),IF(AND(O75&gt;($AB$1-$W$1),D75&gt;$Z$4),"",IF(AND(B75&gt;=$T$1,(F75-E75)&gt;($AB$1-$W$1)),"",IF(AND(D75&gt;=$Y$4,I75=$Z$8,S75=""),($AB$1-(F75-E75)),IF(AND(P75&lt;&gt;"",S75&lt;&gt;""),I75-$Z$8,IF(AND(P75&lt;&gt;"",D75&gt;$Y$4),$AB$1-(F75-E75),"")))))))))))))))))</f>
        <v/>
      </c>
      <c r="M75" s="107" t="str">
        <f>IFERROR(IF(H75="","",IF(B75=VLOOKUP(B75,Feriados[],2,0),(H75-D75)-(G75-E75),"")),"")</f>
        <v/>
      </c>
      <c r="N75" s="38" t="str">
        <f t="shared" si="8"/>
        <v>Sex</v>
      </c>
      <c r="O75" s="112">
        <f t="shared" si="9"/>
        <v>4.166666666666663E-2</v>
      </c>
      <c r="P75" s="113" t="str">
        <f>IF(B75=_xlfn.XLOOKUP(B75,Feriados[FE Oficial],Feriados[FE Talvez],"",0),"",IF(B75&lt;$T$1,"",IF(Q75="Consulta","",IF(Q75="Compensado","",IF(N75="Sáb","",IF(S75&lt;&gt;"",(S75-R75)-(($AB$1-O75)-(D75-$Z$4)),IF(O75&gt;$AB$1,O75-$AB$1,IF(C75&gt;$Z$4,C75-$Z$4,IF(AND(N75="Sex",G75&lt;&gt;"",H75=""),$Z$3-G75,IF(AND(G75&lt;&gt;"",H75=""),$Z$3-G75,IF(AND(N75="Sex",H75&lt;$Y$3),$Z$3-H75,IF(AND(N75&lt;&gt;"Sex",H75&gt;$AA$8),"",IF(AND(N75="Sex",H75&gt;$Z$8),"",IF(AND(N75&lt;&gt;"Sex",I75&gt;$Z$8),$Z$8-H75,IF(AND(N75&lt;&gt;"Sex",H75&lt;$Y$8),$Z$8-H75,"")))))))))))))))</f>
        <v/>
      </c>
      <c r="Q75" s="33"/>
      <c r="R75" s="33"/>
      <c r="S75" s="33"/>
    </row>
    <row r="76" spans="1:19" x14ac:dyDescent="0.25">
      <c r="A76" s="116" t="s">
        <v>182</v>
      </c>
      <c r="B76" s="32">
        <v>43820</v>
      </c>
      <c r="C76" s="39">
        <f t="shared" si="5"/>
        <v>0.33333333333333331</v>
      </c>
      <c r="D76" s="33">
        <v>0.3354166666666667</v>
      </c>
      <c r="E76" s="33">
        <v>0.5</v>
      </c>
      <c r="F76" s="39">
        <f t="shared" si="6"/>
        <v>0.54166666666666663</v>
      </c>
      <c r="G76" s="33">
        <v>0.54166666666666663</v>
      </c>
      <c r="H76" s="33">
        <v>0.71111111111111114</v>
      </c>
      <c r="I76" s="39">
        <f>IFERROR(IF(B76=VLOOKUP(B76,Feriados[],2,0),H76,IF(N76="Sáb",H76,IF(AND(B76&lt;$T$1,H76&lt;=$AA$3),$Z$3,IF(AND(N76="Sex",H76&gt;$AA$3),H76,IF(H76&lt;=$AA$3,$Z$3,IF(H76&lt;=$AA$8,$Z$8,H76)))))),IF(N76="Sáb",H76,IF(AND(B76&lt;$T$1,H76&lt;=$AA$3),$Z$3,IF(AND(N76="Sex",H76&gt;$AA$3),H76,IF(H76&lt;=$AA$3,$Z$3,IF(H76&lt;=$AA$8,$Z$8,H76))))))</f>
        <v>0.70833333333333337</v>
      </c>
      <c r="J76" s="33">
        <f t="shared" si="7"/>
        <v>0.33333333333333331</v>
      </c>
      <c r="K76" s="33">
        <f>IFERROR(IF(H76="","",IF(B76=VLOOKUP(B76,Feriados[],2,0),(H76-D76)-(G76-E76),IF(D76&lt;=$Y$4,(I76-D76)-(G76-E76),(I76-C76)-(F76-E76)))),IF(AND(D76&lt;=$Y$4,F76-E76=$AB$1),(I76-D76)-(F76-E76),IF(D76&lt;$Y$4,(I76-D76)-(G76-E76),(I76-C76)-(F76-E76))))</f>
        <v>0.33333333333333343</v>
      </c>
      <c r="L76" s="40" t="str">
        <f>IF(B76=_xlfn.XLOOKUP(B76,Feriados[FE Oficial],Feriados[FE Talvez],"",0),"",IF(Q76="Compensado","",IF(AND(N76="Sex",D76&lt;$Y$4),($Z$4-D76)+$AB$1-(F76-E76)+(I76-$Z$3),IF(AND(N76="Sex",I76&gt;$Z$3),($AB$1-(F76-E76))+(I76-$Z$3),IF(AND(N76="Sex",E76&lt;&gt;"",D76&lt;$Y$4),($Z$4-D76)+$AB$1-(F76-E76)+(I76-$Z$3),IF(N76="Sáb",(I76-D76)-(G76-E76)-(S76-R76),IF(AND(B76&lt;$T$1,I76&gt;$Z$3),H76-$Z$3,IF(D76&lt;$Y$4,($Z$4-D76)+($AB$1-(F76-E76))+(I76-$Z$8)+(S76-R76),IF(AND(S76&lt;&gt;"",D76&gt;$Z$4),(S76-R76)-($AB$1-(F76-E76)),IF(AND(S76&lt;&gt;"",D76&lt;$Y$4),(S76-R76)-($AB$1-(F76-E76)+($Z$4-D76)),IF(I76&gt;$Z$8,($AB$1-(F76-E76))+(I76-$Z$8),IF(AND(N76="Sex",(F76-E76)&lt;($AB$1-$W$1)),($AB$1-(F76-E76)),IF(AND(O76&gt;($AB$1-$W$1),D76&gt;$Z$4),"",IF(AND(B76&gt;=$T$1,(F76-E76)&gt;($AB$1-$W$1)),"",IF(AND(D76&gt;=$Y$4,I76=$Z$8,S76=""),($AB$1-(F76-E76)),IF(AND(P76&lt;&gt;"",S76&lt;&gt;""),I76-$Z$8,IF(AND(P76&lt;&gt;"",D76&gt;$Y$4),$AB$1-(F76-E76),"")))))))))))))))))</f>
        <v/>
      </c>
      <c r="M76" s="107" t="str">
        <f>IFERROR(IF(H76="","",IF(B76=VLOOKUP(B76,Feriados[],2,0),(H76-D76)-(G76-E76),"")),"")</f>
        <v/>
      </c>
      <c r="N76" s="38" t="str">
        <f t="shared" si="8"/>
        <v>Sex</v>
      </c>
      <c r="O76" s="112">
        <f t="shared" si="9"/>
        <v>4.166666666666663E-2</v>
      </c>
      <c r="P76" s="113" t="str">
        <f>IF(B76=_xlfn.XLOOKUP(B76,Feriados[FE Oficial],Feriados[FE Talvez],"",0),"",IF(B76&lt;$T$1,"",IF(Q76="Consulta","",IF(Q76="Compensado","",IF(N76="Sáb","",IF(S76&lt;&gt;"",(S76-R76)-(($AB$1-O76)-(D76-$Z$4)),IF(O76&gt;$AB$1,O76-$AB$1,IF(C76&gt;$Z$4,C76-$Z$4,IF(AND(N76="Sex",G76&lt;&gt;"",H76=""),$Z$3-G76,IF(AND(G76&lt;&gt;"",H76=""),$Z$3-G76,IF(AND(N76="Sex",H76&lt;$Y$3),$Z$3-H76,IF(AND(N76&lt;&gt;"Sex",H76&gt;$AA$8),"",IF(AND(N76="Sex",H76&gt;$Z$8),"",IF(AND(N76&lt;&gt;"Sex",I76&gt;$Z$8),$Z$8-H76,IF(AND(N76&lt;&gt;"Sex",H76&lt;$Y$8),$Z$8-H76,"")))))))))))))))</f>
        <v/>
      </c>
      <c r="Q76" s="33"/>
      <c r="R76" s="33"/>
      <c r="S76" s="33"/>
    </row>
    <row r="77" spans="1:19" x14ac:dyDescent="0.25">
      <c r="A77" s="116" t="s">
        <v>197</v>
      </c>
      <c r="B77" s="32">
        <v>43820</v>
      </c>
      <c r="C77" s="39">
        <f t="shared" si="5"/>
        <v>0.33333333333333331</v>
      </c>
      <c r="D77" s="33">
        <v>0.33333333333333331</v>
      </c>
      <c r="E77" s="33">
        <v>0.5</v>
      </c>
      <c r="F77" s="39">
        <f t="shared" si="6"/>
        <v>0.54166666666666663</v>
      </c>
      <c r="G77" s="33">
        <v>0.54166666666666663</v>
      </c>
      <c r="H77" s="33">
        <v>0.70833333333333337</v>
      </c>
      <c r="I77" s="39">
        <f>IFERROR(IF(B77=VLOOKUP(B77,Feriados[],2,0),H77,IF(N77="Sáb",H77,IF(AND(B77&lt;$T$1,H77&lt;=$AA$3),$Z$3,IF(AND(N77="Sex",H77&gt;$AA$3),H77,IF(H77&lt;=$AA$3,$Z$3,IF(H77&lt;=$AA$8,$Z$8,H77)))))),IF(N77="Sáb",H77,IF(AND(B77&lt;$T$1,H77&lt;=$AA$3),$Z$3,IF(AND(N77="Sex",H77&gt;$AA$3),H77,IF(H77&lt;=$AA$3,$Z$3,IF(H77&lt;=$AA$8,$Z$8,H77))))))</f>
        <v>0.70833333333333337</v>
      </c>
      <c r="J77" s="33">
        <f t="shared" si="7"/>
        <v>0.33333333333333343</v>
      </c>
      <c r="K77" s="33">
        <f>IFERROR(IF(H77="","",IF(B77=VLOOKUP(B77,Feriados[],2,0),(H77-D77)-(G77-E77),IF(D77&lt;=$Y$4,(I77-D77)-(G77-E77),(I77-C77)-(F77-E77)))),IF(AND(D77&lt;=$Y$4,F77-E77=$AB$1),(I77-D77)-(F77-E77),IF(D77&lt;$Y$4,(I77-D77)-(G77-E77),(I77-C77)-(F77-E77))))</f>
        <v>0.33333333333333343</v>
      </c>
      <c r="L77" s="40" t="str">
        <f>IF(B77=_xlfn.XLOOKUP(B77,Feriados[FE Oficial],Feriados[FE Talvez],"",0),"",IF(Q77="Compensado","",IF(AND(N77="Sex",D77&lt;$Y$4),($Z$4-D77)+$AB$1-(F77-E77)+(I77-$Z$3),IF(AND(N77="Sex",I77&gt;$Z$3),($AB$1-(F77-E77))+(I77-$Z$3),IF(AND(N77="Sex",E77&lt;&gt;"",D77&lt;$Y$4),($Z$4-D77)+$AB$1-(F77-E77)+(I77-$Z$3),IF(N77="Sáb",(I77-D77)-(G77-E77)-(S77-R77),IF(AND(B77&lt;$T$1,I77&gt;$Z$3),H77-$Z$3,IF(D77&lt;$Y$4,($Z$4-D77)+($AB$1-(F77-E77))+(I77-$Z$8)+(S77-R77),IF(AND(S77&lt;&gt;"",D77&gt;$Z$4),(S77-R77)-($AB$1-(F77-E77)),IF(AND(S77&lt;&gt;"",D77&lt;$Y$4),(S77-R77)-($AB$1-(F77-E77)+($Z$4-D77)),IF(I77&gt;$Z$8,($AB$1-(F77-E77))+(I77-$Z$8),IF(AND(N77="Sex",(F77-E77)&lt;($AB$1-$W$1)),($AB$1-(F77-E77)),IF(AND(O77&gt;($AB$1-$W$1),D77&gt;$Z$4),"",IF(AND(B77&gt;=$T$1,(F77-E77)&gt;($AB$1-$W$1)),"",IF(AND(D77&gt;=$Y$4,I77=$Z$8,S77=""),($AB$1-(F77-E77)),IF(AND(P77&lt;&gt;"",S77&lt;&gt;""),I77-$Z$8,IF(AND(P77&lt;&gt;"",D77&gt;$Y$4),$AB$1-(F77-E77),"")))))))))))))))))</f>
        <v/>
      </c>
      <c r="M77" s="107" t="str">
        <f>IFERROR(IF(H77="","",IF(B77=VLOOKUP(B77,Feriados[],2,0),(H77-D77)-(G77-E77),"")),"")</f>
        <v/>
      </c>
      <c r="N77" s="38" t="str">
        <f t="shared" si="8"/>
        <v>Sex</v>
      </c>
      <c r="O77" s="112">
        <f t="shared" si="9"/>
        <v>4.166666666666663E-2</v>
      </c>
      <c r="P77" s="113" t="str">
        <f>IF(B77=_xlfn.XLOOKUP(B77,Feriados[FE Oficial],Feriados[FE Talvez],"",0),"",IF(B77&lt;$T$1,"",IF(Q77="Consulta","",IF(Q77="Compensado","",IF(N77="Sáb","",IF(S77&lt;&gt;"",(S77-R77)-(($AB$1-O77)-(D77-$Z$4)),IF(O77&gt;$AB$1,O77-$AB$1,IF(C77&gt;$Z$4,C77-$Z$4,IF(AND(N77="Sex",G77&lt;&gt;"",H77=""),$Z$3-G77,IF(AND(G77&lt;&gt;"",H77=""),$Z$3-G77,IF(AND(N77="Sex",H77&lt;$Y$3),$Z$3-H77,IF(AND(N77&lt;&gt;"Sex",H77&gt;$AA$8),"",IF(AND(N77="Sex",H77&gt;$Z$8),"",IF(AND(N77&lt;&gt;"Sex",I77&gt;$Z$8),$Z$8-H77,IF(AND(N77&lt;&gt;"Sex",H77&lt;$Y$8),$Z$8-H77,"")))))))))))))))</f>
        <v/>
      </c>
      <c r="Q77" s="33"/>
      <c r="R77" s="33"/>
      <c r="S77" s="33"/>
    </row>
    <row r="78" spans="1:19" x14ac:dyDescent="0.25">
      <c r="A78" s="116" t="s">
        <v>194</v>
      </c>
      <c r="B78" s="32">
        <v>43820</v>
      </c>
      <c r="C78" s="39">
        <f t="shared" si="5"/>
        <v>0.33333333333333331</v>
      </c>
      <c r="D78" s="33">
        <v>0.29166666666666669</v>
      </c>
      <c r="E78" s="33">
        <v>0.5</v>
      </c>
      <c r="F78" s="39">
        <f t="shared" si="6"/>
        <v>0.54166666666666663</v>
      </c>
      <c r="G78" s="33">
        <v>0.54166666666666663</v>
      </c>
      <c r="H78" s="33">
        <v>0.71111111111111114</v>
      </c>
      <c r="I78" s="39">
        <f>IFERROR(IF(B78=VLOOKUP(B78,Feriados[],2,0),H78,IF(N78="Sáb",H78,IF(AND(B78&lt;$T$1,H78&lt;=$AA$3),$Z$3,IF(AND(N78="Sex",H78&gt;$AA$3),H78,IF(H78&lt;=$AA$3,$Z$3,IF(H78&lt;=$AA$8,$Z$8,H78)))))),IF(N78="Sáb",H78,IF(AND(B78&lt;$T$1,H78&lt;=$AA$3),$Z$3,IF(AND(N78="Sex",H78&gt;$AA$3),H78,IF(H78&lt;=$AA$3,$Z$3,IF(H78&lt;=$AA$8,$Z$8,H78))))))</f>
        <v>0.70833333333333337</v>
      </c>
      <c r="J78" s="33">
        <f t="shared" si="7"/>
        <v>0.33333333333333331</v>
      </c>
      <c r="K78" s="33">
        <f>IFERROR(IF(H78="","",IF(B78=VLOOKUP(B78,Feriados[],2,0),(H78-D78)-(G78-E78),IF(D78&lt;=$Y$4,(I78-D78)-(G78-E78),(I78-C78)-(F78-E78)))),IF(AND(D78&lt;=$Y$4,F78-E78=$AB$1),(I78-D78)-(F78-E78),IF(D78&lt;$Y$4,(I78-D78)-(G78-E78),(I78-C78)-(F78-E78))))</f>
        <v>0.37500000000000006</v>
      </c>
      <c r="L78" s="40">
        <f>IF(B78=_xlfn.XLOOKUP(B78,Feriados[FE Oficial],Feriados[FE Talvez],"",0),"",IF(Q78="Compensado","",IF(AND(N78="Sex",D78&lt;$Y$4),($Z$4-D78)+$AB$1-(F78-E78)+(I78-$Z$3),IF(AND(N78="Sex",I78&gt;$Z$3),($AB$1-(F78-E78))+(I78-$Z$3),IF(AND(N78="Sex",E78&lt;&gt;"",D78&lt;$Y$4),($Z$4-D78)+$AB$1-(F78-E78)+(I78-$Z$3),IF(N78="Sáb",(I78-D78)-(G78-E78)-(S78-R78),IF(AND(B78&lt;$T$1,I78&gt;$Z$3),H78-$Z$3,IF(D78&lt;$Y$4,($Z$4-D78)+($AB$1-(F78-E78))+(I78-$Z$8)+(S78-R78),IF(AND(S78&lt;&gt;"",D78&gt;$Z$4),(S78-R78)-($AB$1-(F78-E78)),IF(AND(S78&lt;&gt;"",D78&lt;$Y$4),(S78-R78)-($AB$1-(F78-E78)+($Z$4-D78)),IF(I78&gt;$Z$8,($AB$1-(F78-E78))+(I78-$Z$8),IF(AND(N78="Sex",(F78-E78)&lt;($AB$1-$W$1)),($AB$1-(F78-E78)),IF(AND(O78&gt;($AB$1-$W$1),D78&gt;$Z$4),"",IF(AND(B78&gt;=$T$1,(F78-E78)&gt;($AB$1-$W$1)),"",IF(AND(D78&gt;=$Y$4,I78=$Z$8,S78=""),($AB$1-(F78-E78)),IF(AND(P78&lt;&gt;"",S78&lt;&gt;""),I78-$Z$8,IF(AND(P78&lt;&gt;"",D78&gt;$Y$4),$AB$1-(F78-E78),"")))))))))))))))))</f>
        <v>4.1666666666666657E-2</v>
      </c>
      <c r="M78" s="107" t="str">
        <f>IFERROR(IF(H78="","",IF(B78=VLOOKUP(B78,Feriados[],2,0),(H78-D78)-(G78-E78),"")),"")</f>
        <v/>
      </c>
      <c r="N78" s="38" t="str">
        <f t="shared" si="8"/>
        <v>Sex</v>
      </c>
      <c r="O78" s="112">
        <f t="shared" si="9"/>
        <v>4.166666666666663E-2</v>
      </c>
      <c r="P78" s="113" t="str">
        <f>IF(B78=_xlfn.XLOOKUP(B78,Feriados[FE Oficial],Feriados[FE Talvez],"",0),"",IF(B78&lt;$T$1,"",IF(Q78="Consulta","",IF(Q78="Compensado","",IF(N78="Sáb","",IF(S78&lt;&gt;"",(S78-R78)-(($AB$1-O78)-(D78-$Z$4)),IF(O78&gt;$AB$1,O78-$AB$1,IF(C78&gt;$Z$4,C78-$Z$4,IF(AND(N78="Sex",G78&lt;&gt;"",H78=""),$Z$3-G78,IF(AND(G78&lt;&gt;"",H78=""),$Z$3-G78,IF(AND(N78="Sex",H78&lt;$Y$3),$Z$3-H78,IF(AND(N78&lt;&gt;"Sex",H78&gt;$AA$8),"",IF(AND(N78="Sex",H78&gt;$Z$8),"",IF(AND(N78&lt;&gt;"Sex",I78&gt;$Z$8),$Z$8-H78,IF(AND(N78&lt;&gt;"Sex",H78&lt;$Y$8),$Z$8-H78,"")))))))))))))))</f>
        <v/>
      </c>
      <c r="Q78" s="33"/>
      <c r="R78" s="33"/>
      <c r="S78" s="33"/>
    </row>
    <row r="79" spans="1:19" x14ac:dyDescent="0.25">
      <c r="A79" s="116" t="s">
        <v>191</v>
      </c>
      <c r="B79" s="32">
        <v>43820</v>
      </c>
      <c r="C79" s="39">
        <f t="shared" si="5"/>
        <v>0.33333333333333331</v>
      </c>
      <c r="D79" s="33">
        <v>0.33333333333333331</v>
      </c>
      <c r="E79" s="33">
        <v>0.5</v>
      </c>
      <c r="F79" s="39">
        <f t="shared" si="6"/>
        <v>0.54166666666666663</v>
      </c>
      <c r="G79" s="33">
        <v>0.54166666666666663</v>
      </c>
      <c r="H79" s="33">
        <v>0.75</v>
      </c>
      <c r="I79" s="39">
        <f>IFERROR(IF(B79=VLOOKUP(B79,Feriados[],2,0),H79,IF(N79="Sáb",H79,IF(AND(B79&lt;$T$1,H79&lt;=$AA$3),$Z$3,IF(AND(N79="Sex",H79&gt;$AA$3),H79,IF(H79&lt;=$AA$3,$Z$3,IF(H79&lt;=$AA$8,$Z$8,H79)))))),IF(N79="Sáb",H79,IF(AND(B79&lt;$T$1,H79&lt;=$AA$3),$Z$3,IF(AND(N79="Sex",H79&gt;$AA$3),H79,IF(H79&lt;=$AA$3,$Z$3,IF(H79&lt;=$AA$8,$Z$8,H79))))))</f>
        <v>0.75</v>
      </c>
      <c r="J79" s="33">
        <f t="shared" si="7"/>
        <v>0.33333333333333331</v>
      </c>
      <c r="K79" s="33">
        <f>IFERROR(IF(H79="","",IF(B79=VLOOKUP(B79,Feriados[],2,0),(H79-D79)-(G79-E79),IF(D79&lt;=$Y$4,(I79-D79)-(G79-E79),(I79-C79)-(F79-E79)))),IF(AND(D79&lt;=$Y$4,F79-E79=$AB$1),(I79-D79)-(F79-E79),IF(D79&lt;$Y$4,(I79-D79)-(G79-E79),(I79-C79)-(F79-E79))))</f>
        <v>0.37500000000000006</v>
      </c>
      <c r="L79" s="40">
        <f>IF(B79=_xlfn.XLOOKUP(B79,Feriados[FE Oficial],Feriados[FE Talvez],"",0),"",IF(Q79="Compensado","",IF(AND(N79="Sex",D79&lt;$Y$4),($Z$4-D79)+$AB$1-(F79-E79)+(I79-$Z$3),IF(AND(N79="Sex",I79&gt;$Z$3),($AB$1-(F79-E79))+(I79-$Z$3),IF(AND(N79="Sex",E79&lt;&gt;"",D79&lt;$Y$4),($Z$4-D79)+$AB$1-(F79-E79)+(I79-$Z$3),IF(N79="Sáb",(I79-D79)-(G79-E79)-(S79-R79),IF(AND(B79&lt;$T$1,I79&gt;$Z$3),H79-$Z$3,IF(D79&lt;$Y$4,($Z$4-D79)+($AB$1-(F79-E79))+(I79-$Z$8)+(S79-R79),IF(AND(S79&lt;&gt;"",D79&gt;$Z$4),(S79-R79)-($AB$1-(F79-E79)),IF(AND(S79&lt;&gt;"",D79&lt;$Y$4),(S79-R79)-($AB$1-(F79-E79)+($Z$4-D79)),IF(I79&gt;$Z$8,($AB$1-(F79-E79))+(I79-$Z$8),IF(AND(N79="Sex",(F79-E79)&lt;($AB$1-$W$1)),($AB$1-(F79-E79)),IF(AND(O79&gt;($AB$1-$W$1),D79&gt;$Z$4),"",IF(AND(B79&gt;=$T$1,(F79-E79)&gt;($AB$1-$W$1)),"",IF(AND(D79&gt;=$Y$4,I79=$Z$8,S79=""),($AB$1-(F79-E79)),IF(AND(P79&lt;&gt;"",S79&lt;&gt;""),I79-$Z$8,IF(AND(P79&lt;&gt;"",D79&gt;$Y$4),$AB$1-(F79-E79),"")))))))))))))))))</f>
        <v>4.1666666666666664E-2</v>
      </c>
      <c r="M79" s="107" t="str">
        <f>IFERROR(IF(H79="","",IF(B79=VLOOKUP(B79,Feriados[],2,0),(H79-D79)-(G79-E79),"")),"")</f>
        <v/>
      </c>
      <c r="N79" s="38" t="str">
        <f t="shared" si="8"/>
        <v>Sex</v>
      </c>
      <c r="O79" s="112">
        <f t="shared" si="9"/>
        <v>4.166666666666663E-2</v>
      </c>
      <c r="P79" s="113" t="str">
        <f>IF(B79=_xlfn.XLOOKUP(B79,Feriados[FE Oficial],Feriados[FE Talvez],"",0),"",IF(B79&lt;$T$1,"",IF(Q79="Consulta","",IF(Q79="Compensado","",IF(N79="Sáb","",IF(S79&lt;&gt;"",(S79-R79)-(($AB$1-O79)-(D79-$Z$4)),IF(O79&gt;$AB$1,O79-$AB$1,IF(C79&gt;$Z$4,C79-$Z$4,IF(AND(N79="Sex",G79&lt;&gt;"",H79=""),$Z$3-G79,IF(AND(G79&lt;&gt;"",H79=""),$Z$3-G79,IF(AND(N79="Sex",H79&lt;$Y$3),$Z$3-H79,IF(AND(N79&lt;&gt;"Sex",H79&gt;$AA$8),"",IF(AND(N79="Sex",H79&gt;$Z$8),"",IF(AND(N79&lt;&gt;"Sex",I79&gt;$Z$8),$Z$8-H79,IF(AND(N79&lt;&gt;"Sex",H79&lt;$Y$8),$Z$8-H79,"")))))))))))))))</f>
        <v/>
      </c>
      <c r="Q79" s="33"/>
      <c r="R79" s="33"/>
      <c r="S79" s="33"/>
    </row>
    <row r="80" spans="1:19" x14ac:dyDescent="0.25">
      <c r="A80" s="116" t="s">
        <v>194</v>
      </c>
      <c r="B80" s="32">
        <v>43824</v>
      </c>
      <c r="C80" s="39">
        <f t="shared" si="5"/>
        <v>0.33333333333333331</v>
      </c>
      <c r="D80" s="33">
        <v>0.29166666666666669</v>
      </c>
      <c r="E80" s="33">
        <v>0.5</v>
      </c>
      <c r="F80" s="39">
        <f t="shared" si="6"/>
        <v>0.54166666666666663</v>
      </c>
      <c r="G80" s="33">
        <v>0.54166666666666663</v>
      </c>
      <c r="H80" s="33">
        <v>0.77083333333333337</v>
      </c>
      <c r="I80" s="39">
        <f>IFERROR(IF(B80=VLOOKUP(B80,Feriados[],2,0),H80,IF(N80="Sáb",H80,IF(AND(B80&lt;$T$1,H80&lt;=$AA$3),$Z$3,IF(AND(N80="Sex",H80&gt;$AA$3),H80,IF(H80&lt;=$AA$3,$Z$3,IF(H80&lt;=$AA$8,$Z$8,H80)))))),IF(N80="Sáb",H80,IF(AND(B80&lt;$T$1,H80&lt;=$AA$3),$Z$3,IF(AND(N80="Sex",H80&gt;$AA$3),H80,IF(H80&lt;=$AA$3,$Z$3,IF(H80&lt;=$AA$8,$Z$8,H80))))))</f>
        <v>0.77083333333333337</v>
      </c>
      <c r="J80" s="33">
        <f t="shared" si="7"/>
        <v>0.375</v>
      </c>
      <c r="K80" s="33">
        <f>IFERROR(IF(H80="","",IF(B80=VLOOKUP(B80,Feriados[],2,0),(H80-D80)-(G80-E80),IF(D80&lt;=$Y$4,(I80-D80)-(G80-E80),(I80-C80)-(F80-E80)))),IF(AND(D80&lt;=$Y$4,F80-E80=$AB$1),(I80-D80)-(F80-E80),IF(D80&lt;$Y$4,(I80-D80)-(G80-E80),(I80-C80)-(F80-E80))))</f>
        <v>0.43750000000000006</v>
      </c>
      <c r="L80" s="40">
        <f>IF(B80=_xlfn.XLOOKUP(B80,Feriados[FE Oficial],Feriados[FE Talvez],"",0),"",IF(Q80="Compensado","",IF(AND(N80="Sex",D80&lt;$Y$4),($Z$4-D80)+$AB$1-(F80-E80)+(I80-$Z$3),IF(AND(N80="Sex",I80&gt;$Z$3),($AB$1-(F80-E80))+(I80-$Z$3),IF(AND(N80="Sex",E80&lt;&gt;"",D80&lt;$Y$4),($Z$4-D80)+$AB$1-(F80-E80)+(I80-$Z$3),IF(N80="Sáb",(I80-D80)-(G80-E80)-(S80-R80),IF(AND(B80&lt;$T$1,I80&gt;$Z$3),H80-$Z$3,IF(D80&lt;$Y$4,($Z$4-D80)+($AB$1-(F80-E80))+(I80-$Z$8)+(S80-R80),IF(AND(S80&lt;&gt;"",D80&gt;$Z$4),(S80-R80)-($AB$1-(F80-E80)),IF(AND(S80&lt;&gt;"",D80&lt;$Y$4),(S80-R80)-($AB$1-(F80-E80)+($Z$4-D80)),IF(I80&gt;$Z$8,($AB$1-(F80-E80))+(I80-$Z$8),IF(AND(N80="Sex",(F80-E80)&lt;($AB$1-$W$1)),($AB$1-(F80-E80)),IF(AND(O80&gt;($AB$1-$W$1),D80&gt;$Z$4),"",IF(AND(B80&gt;=$T$1,(F80-E80)&gt;($AB$1-$W$1)),"",IF(AND(D80&gt;=$Y$4,I80=$Z$8,S80=""),($AB$1-(F80-E80)),IF(AND(P80&lt;&gt;"",S80&lt;&gt;""),I80-$Z$8,IF(AND(P80&lt;&gt;"",D80&gt;$Y$4),$AB$1-(F80-E80),"")))))))))))))))))</f>
        <v>6.2500000000000028E-2</v>
      </c>
      <c r="M80" s="107" t="str">
        <f>IFERROR(IF(H80="","",IF(B80=VLOOKUP(B80,Feriados[],2,0),(H80-D80)-(G80-E80),"")),"")</f>
        <v/>
      </c>
      <c r="N80" s="38" t="str">
        <f t="shared" si="8"/>
        <v>Ter</v>
      </c>
      <c r="O80" s="112">
        <f t="shared" si="9"/>
        <v>4.166666666666663E-2</v>
      </c>
      <c r="P80" s="113" t="str">
        <f>IF(B80=_xlfn.XLOOKUP(B80,Feriados[FE Oficial],Feriados[FE Talvez],"",0),"",IF(B80&lt;$T$1,"",IF(Q80="Consulta","",IF(Q80="Compensado","",IF(N80="Sáb","",IF(S80&lt;&gt;"",(S80-R80)-(($AB$1-O80)-(D80-$Z$4)),IF(O80&gt;$AB$1,O80-$AB$1,IF(C80&gt;$Z$4,C80-$Z$4,IF(AND(N80="Sex",G80&lt;&gt;"",H80=""),$Z$3-G80,IF(AND(G80&lt;&gt;"",H80=""),$Z$3-G80,IF(AND(N80="Sex",H80&lt;$Y$3),$Z$3-H80,IF(AND(N80&lt;&gt;"Sex",H80&gt;$AA$8),"",IF(AND(N80="Sex",H80&gt;$Z$8),"",IF(AND(N80&lt;&gt;"Sex",I80&gt;$Z$8),$Z$8-H80,IF(AND(N80&lt;&gt;"Sex",H80&lt;$Y$8),$Z$8-H80,"")))))))))))))))</f>
        <v/>
      </c>
      <c r="Q80" s="33"/>
      <c r="R80" s="33"/>
      <c r="S80" s="33"/>
    </row>
    <row r="81" spans="1:19" x14ac:dyDescent="0.25">
      <c r="A81" s="116" t="s">
        <v>197</v>
      </c>
      <c r="B81" s="32">
        <v>43824</v>
      </c>
      <c r="C81" s="39">
        <f t="shared" si="5"/>
        <v>0.33333333333333331</v>
      </c>
      <c r="D81" s="33">
        <v>0.33333333333333331</v>
      </c>
      <c r="E81" s="33">
        <v>0.5</v>
      </c>
      <c r="F81" s="39">
        <f t="shared" si="6"/>
        <v>0.54166666666666663</v>
      </c>
      <c r="G81" s="33">
        <v>0.54166666666666663</v>
      </c>
      <c r="H81" s="33">
        <v>0.75</v>
      </c>
      <c r="I81" s="39">
        <f>IFERROR(IF(B81=VLOOKUP(B81,Feriados[],2,0),H81,IF(N81="Sáb",H81,IF(AND(B81&lt;$T$1,H81&lt;=$AA$3),$Z$3,IF(AND(N81="Sex",H81&gt;$AA$3),H81,IF(H81&lt;=$AA$3,$Z$3,IF(H81&lt;=$AA$8,$Z$8,H81)))))),IF(N81="Sáb",H81,IF(AND(B81&lt;$T$1,H81&lt;=$AA$3),$Z$3,IF(AND(N81="Sex",H81&gt;$AA$3),H81,IF(H81&lt;=$AA$3,$Z$3,IF(H81&lt;=$AA$8,$Z$8,H81))))))</f>
        <v>0.75</v>
      </c>
      <c r="J81" s="33">
        <f t="shared" si="7"/>
        <v>0.37500000000000006</v>
      </c>
      <c r="K81" s="33">
        <f>IFERROR(IF(H81="","",IF(B81=VLOOKUP(B81,Feriados[],2,0),(H81-D81)-(G81-E81),IF(D81&lt;=$Y$4,(I81-D81)-(G81-E81),(I81-C81)-(F81-E81)))),IF(AND(D81&lt;=$Y$4,F81-E81=$AB$1),(I81-D81)-(F81-E81),IF(D81&lt;$Y$4,(I81-D81)-(G81-E81),(I81-C81)-(F81-E81))))</f>
        <v>0.37500000000000006</v>
      </c>
      <c r="L81" s="40" t="str">
        <f>IF(B81=_xlfn.XLOOKUP(B81,Feriados[FE Oficial],Feriados[FE Talvez],"",0),"",IF(Q81="Compensado","",IF(AND(N81="Sex",D81&lt;$Y$4),($Z$4-D81)+$AB$1-(F81-E81)+(I81-$Z$3),IF(AND(N81="Sex",I81&gt;$Z$3),($AB$1-(F81-E81))+(I81-$Z$3),IF(AND(N81="Sex",E81&lt;&gt;"",D81&lt;$Y$4),($Z$4-D81)+$AB$1-(F81-E81)+(I81-$Z$3),IF(N81="Sáb",(I81-D81)-(G81-E81)-(S81-R81),IF(AND(B81&lt;$T$1,I81&gt;$Z$3),H81-$Z$3,IF(D81&lt;$Y$4,($Z$4-D81)+($AB$1-(F81-E81))+(I81-$Z$8)+(S81-R81),IF(AND(S81&lt;&gt;"",D81&gt;$Z$4),(S81-R81)-($AB$1-(F81-E81)),IF(AND(S81&lt;&gt;"",D81&lt;$Y$4),(S81-R81)-($AB$1-(F81-E81)+($Z$4-D81)),IF(I81&gt;$Z$8,($AB$1-(F81-E81))+(I81-$Z$8),IF(AND(N81="Sex",(F81-E81)&lt;($AB$1-$W$1)),($AB$1-(F81-E81)),IF(AND(O81&gt;($AB$1-$W$1),D81&gt;$Z$4),"",IF(AND(B81&gt;=$T$1,(F81-E81)&gt;($AB$1-$W$1)),"",IF(AND(D81&gt;=$Y$4,I81=$Z$8,S81=""),($AB$1-(F81-E81)),IF(AND(P81&lt;&gt;"",S81&lt;&gt;""),I81-$Z$8,IF(AND(P81&lt;&gt;"",D81&gt;$Y$4),$AB$1-(F81-E81),"")))))))))))))))))</f>
        <v/>
      </c>
      <c r="M81" s="107" t="str">
        <f>IFERROR(IF(H81="","",IF(B81=VLOOKUP(B81,Feriados[],2,0),(H81-D81)-(G81-E81),"")),"")</f>
        <v/>
      </c>
      <c r="N81" s="38" t="str">
        <f t="shared" si="8"/>
        <v>Ter</v>
      </c>
      <c r="O81" s="112">
        <f t="shared" si="9"/>
        <v>4.166666666666663E-2</v>
      </c>
      <c r="P81" s="113" t="str">
        <f>IF(B81=_xlfn.XLOOKUP(B81,Feriados[FE Oficial],Feriados[FE Talvez],"",0),"",IF(B81&lt;$T$1,"",IF(Q81="Consulta","",IF(Q81="Compensado","",IF(N81="Sáb","",IF(S81&lt;&gt;"",(S81-R81)-(($AB$1-O81)-(D81-$Z$4)),IF(O81&gt;$AB$1,O81-$AB$1,IF(C81&gt;$Z$4,C81-$Z$4,IF(AND(N81="Sex",G81&lt;&gt;"",H81=""),$Z$3-G81,IF(AND(G81&lt;&gt;"",H81=""),$Z$3-G81,IF(AND(N81="Sex",H81&lt;$Y$3),$Z$3-H81,IF(AND(N81&lt;&gt;"Sex",H81&gt;$AA$8),"",IF(AND(N81="Sex",H81&gt;$Z$8),"",IF(AND(N81&lt;&gt;"Sex",I81&gt;$Z$8),$Z$8-H81,IF(AND(N81&lt;&gt;"Sex",H81&lt;$Y$8),$Z$8-H81,"")))))))))))))))</f>
        <v/>
      </c>
      <c r="Q81" s="33"/>
      <c r="R81" s="33"/>
      <c r="S81" s="33"/>
    </row>
    <row r="82" spans="1:19" x14ac:dyDescent="0.25">
      <c r="A82" s="116" t="s">
        <v>190</v>
      </c>
      <c r="B82" s="32">
        <v>43824</v>
      </c>
      <c r="C82" s="39">
        <f t="shared" si="5"/>
        <v>0.33333333333333331</v>
      </c>
      <c r="D82" s="33">
        <v>0.33333333333333331</v>
      </c>
      <c r="E82" s="33">
        <v>0.47916666666666669</v>
      </c>
      <c r="F82" s="39">
        <f t="shared" si="6"/>
        <v>0.52083333333333337</v>
      </c>
      <c r="G82" s="33">
        <v>0.52083333333333337</v>
      </c>
      <c r="H82" s="33">
        <v>0.8125</v>
      </c>
      <c r="I82" s="39">
        <f>IFERROR(IF(B82=VLOOKUP(B82,Feriados[],2,0),H82,IF(N82="Sáb",H82,IF(AND(B82&lt;$T$1,H82&lt;=$AA$3),$Z$3,IF(AND(N82="Sex",H82&gt;$AA$3),H82,IF(H82&lt;=$AA$3,$Z$3,IF(H82&lt;=$AA$8,$Z$8,H82)))))),IF(N82="Sáb",H82,IF(AND(B82&lt;$T$1,H82&lt;=$AA$3),$Z$3,IF(AND(N82="Sex",H82&gt;$AA$3),H82,IF(H82&lt;=$AA$3,$Z$3,IF(H82&lt;=$AA$8,$Z$8,H82))))))</f>
        <v>0.8125</v>
      </c>
      <c r="J82" s="33">
        <f t="shared" si="7"/>
        <v>0.375</v>
      </c>
      <c r="K82" s="33">
        <f>IFERROR(IF(H82="","",IF(B82=VLOOKUP(B82,Feriados[],2,0),(H82-D82)-(G82-E82),IF(D82&lt;=$Y$4,(I82-D82)-(G82-E82),(I82-C82)-(F82-E82)))),IF(AND(D82&lt;=$Y$4,F82-E82=$AB$1),(I82-D82)-(F82-E82),IF(D82&lt;$Y$4,(I82-D82)-(G82-E82),(I82-C82)-(F82-E82))))</f>
        <v>0.4375</v>
      </c>
      <c r="L82" s="40">
        <f>IF(B82=_xlfn.XLOOKUP(B82,Feriados[FE Oficial],Feriados[FE Talvez],"",0),"",IF(Q82="Compensado","",IF(AND(N82="Sex",D82&lt;$Y$4),($Z$4-D82)+$AB$1-(F82-E82)+(I82-$Z$3),IF(AND(N82="Sex",I82&gt;$Z$3),($AB$1-(F82-E82))+(I82-$Z$3),IF(AND(N82="Sex",E82&lt;&gt;"",D82&lt;$Y$4),($Z$4-D82)+$AB$1-(F82-E82)+(I82-$Z$3),IF(N82="Sáb",(I82-D82)-(G82-E82)-(S82-R82),IF(AND(B82&lt;$T$1,I82&gt;$Z$3),H82-$Z$3,IF(D82&lt;$Y$4,($Z$4-D82)+($AB$1-(F82-E82))+(I82-$Z$8)+(S82-R82),IF(AND(S82&lt;&gt;"",D82&gt;$Z$4),(S82-R82)-($AB$1-(F82-E82)),IF(AND(S82&lt;&gt;"",D82&lt;$Y$4),(S82-R82)-($AB$1-(F82-E82)+($Z$4-D82)),IF(I82&gt;$Z$8,($AB$1-(F82-E82))+(I82-$Z$8),IF(AND(N82="Sex",(F82-E82)&lt;($AB$1-$W$1)),($AB$1-(F82-E82)),IF(AND(O82&gt;($AB$1-$W$1),D82&gt;$Z$4),"",IF(AND(B82&gt;=$T$1,(F82-E82)&gt;($AB$1-$W$1)),"",IF(AND(D82&gt;=$Y$4,I82=$Z$8,S82=""),($AB$1-(F82-E82)),IF(AND(P82&lt;&gt;"",S82&lt;&gt;""),I82-$Z$8,IF(AND(P82&lt;&gt;"",D82&gt;$Y$4),$AB$1-(F82-E82),"")))))))))))))))))</f>
        <v>6.2499999999999979E-2</v>
      </c>
      <c r="M82" s="107" t="str">
        <f>IFERROR(IF(H82="","",IF(B82=VLOOKUP(B82,Feriados[],2,0),(H82-D82)-(G82-E82),"")),"")</f>
        <v/>
      </c>
      <c r="N82" s="38" t="str">
        <f t="shared" si="8"/>
        <v>Ter</v>
      </c>
      <c r="O82" s="112">
        <f t="shared" si="9"/>
        <v>4.1666666666666685E-2</v>
      </c>
      <c r="P82" s="113" t="str">
        <f>IF(B82=_xlfn.XLOOKUP(B82,Feriados[FE Oficial],Feriados[FE Talvez],"",0),"",IF(B82&lt;$T$1,"",IF(Q82="Consulta","",IF(Q82="Compensado","",IF(N82="Sáb","",IF(S82&lt;&gt;"",(S82-R82)-(($AB$1-O82)-(D82-$Z$4)),IF(O82&gt;$AB$1,O82-$AB$1,IF(C82&gt;$Z$4,C82-$Z$4,IF(AND(N82="Sex",G82&lt;&gt;"",H82=""),$Z$3-G82,IF(AND(G82&lt;&gt;"",H82=""),$Z$3-G82,IF(AND(N82="Sex",H82&lt;$Y$3),$Z$3-H82,IF(AND(N82&lt;&gt;"Sex",H82&gt;$AA$8),"",IF(AND(N82="Sex",H82&gt;$Z$8),"",IF(AND(N82&lt;&gt;"Sex",I82&gt;$Z$8),$Z$8-H82,IF(AND(N82&lt;&gt;"Sex",H82&lt;$Y$8),$Z$8-H82,"")))))))))))))))</f>
        <v/>
      </c>
      <c r="Q82" s="33"/>
      <c r="R82" s="33"/>
      <c r="S82" s="33"/>
    </row>
    <row r="83" spans="1:19" x14ac:dyDescent="0.25">
      <c r="A83" s="116" t="s">
        <v>175</v>
      </c>
      <c r="B83" s="32">
        <v>43824</v>
      </c>
      <c r="C83" s="39">
        <f t="shared" si="5"/>
        <v>0.33333333333333331</v>
      </c>
      <c r="D83" s="33">
        <v>0.33333333333333331</v>
      </c>
      <c r="E83" s="33">
        <v>0.5</v>
      </c>
      <c r="F83" s="39">
        <f t="shared" si="6"/>
        <v>0.54166666666666663</v>
      </c>
      <c r="G83" s="33">
        <v>0.54166666666666663</v>
      </c>
      <c r="H83" s="33">
        <v>0.8125</v>
      </c>
      <c r="I83" s="39">
        <f>IFERROR(IF(B83=VLOOKUP(B83,Feriados[],2,0),H83,IF(N83="Sáb",H83,IF(AND(B83&lt;$T$1,H83&lt;=$AA$3),$Z$3,IF(AND(N83="Sex",H83&gt;$AA$3),H83,IF(H83&lt;=$AA$3,$Z$3,IF(H83&lt;=$AA$8,$Z$8,H83)))))),IF(N83="Sáb",H83,IF(AND(B83&lt;$T$1,H83&lt;=$AA$3),$Z$3,IF(AND(N83="Sex",H83&gt;$AA$3),H83,IF(H83&lt;=$AA$3,$Z$3,IF(H83&lt;=$AA$8,$Z$8,H83))))))</f>
        <v>0.8125</v>
      </c>
      <c r="J83" s="33">
        <f t="shared" si="7"/>
        <v>0.375</v>
      </c>
      <c r="K83" s="33">
        <f>IFERROR(IF(H83="","",IF(B83=VLOOKUP(B83,Feriados[],2,0),(H83-D83)-(G83-E83),IF(D83&lt;=$Y$4,(I83-D83)-(G83-E83),(I83-C83)-(F83-E83)))),IF(AND(D83&lt;=$Y$4,F83-E83=$AB$1),(I83-D83)-(F83-E83),IF(D83&lt;$Y$4,(I83-D83)-(G83-E83),(I83-C83)-(F83-E83))))</f>
        <v>0.43750000000000006</v>
      </c>
      <c r="L83" s="40">
        <f>IF(B83=_xlfn.XLOOKUP(B83,Feriados[FE Oficial],Feriados[FE Talvez],"",0),"",IF(Q83="Compensado","",IF(AND(N83="Sex",D83&lt;$Y$4),($Z$4-D83)+$AB$1-(F83-E83)+(I83-$Z$3),IF(AND(N83="Sex",I83&gt;$Z$3),($AB$1-(F83-E83))+(I83-$Z$3),IF(AND(N83="Sex",E83&lt;&gt;"",D83&lt;$Y$4),($Z$4-D83)+$AB$1-(F83-E83)+(I83-$Z$3),IF(N83="Sáb",(I83-D83)-(G83-E83)-(S83-R83),IF(AND(B83&lt;$T$1,I83&gt;$Z$3),H83-$Z$3,IF(D83&lt;$Y$4,($Z$4-D83)+($AB$1-(F83-E83))+(I83-$Z$8)+(S83-R83),IF(AND(S83&lt;&gt;"",D83&gt;$Z$4),(S83-R83)-($AB$1-(F83-E83)),IF(AND(S83&lt;&gt;"",D83&lt;$Y$4),(S83-R83)-($AB$1-(F83-E83)+($Z$4-D83)),IF(I83&gt;$Z$8,($AB$1-(F83-E83))+(I83-$Z$8),IF(AND(N83="Sex",(F83-E83)&lt;($AB$1-$W$1)),($AB$1-(F83-E83)),IF(AND(O83&gt;($AB$1-$W$1),D83&gt;$Z$4),"",IF(AND(B83&gt;=$T$1,(F83-E83)&gt;($AB$1-$W$1)),"",IF(AND(D83&gt;=$Y$4,I83=$Z$8,S83=""),($AB$1-(F83-E83)),IF(AND(P83&lt;&gt;"",S83&lt;&gt;""),I83-$Z$8,IF(AND(P83&lt;&gt;"",D83&gt;$Y$4),$AB$1-(F83-E83),"")))))))))))))))))</f>
        <v>6.2500000000000028E-2</v>
      </c>
      <c r="M83" s="107" t="str">
        <f>IFERROR(IF(H83="","",IF(B83=VLOOKUP(B83,Feriados[],2,0),(H83-D83)-(G83-E83),"")),"")</f>
        <v/>
      </c>
      <c r="N83" s="38" t="str">
        <f t="shared" si="8"/>
        <v>Ter</v>
      </c>
      <c r="O83" s="112">
        <f t="shared" si="9"/>
        <v>4.166666666666663E-2</v>
      </c>
      <c r="P83" s="113" t="str">
        <f>IF(B83=_xlfn.XLOOKUP(B83,Feriados[FE Oficial],Feriados[FE Talvez],"",0),"",IF(B83&lt;$T$1,"",IF(Q83="Consulta","",IF(Q83="Compensado","",IF(N83="Sáb","",IF(S83&lt;&gt;"",(S83-R83)-(($AB$1-O83)-(D83-$Z$4)),IF(O83&gt;$AB$1,O83-$AB$1,IF(C83&gt;$Z$4,C83-$Z$4,IF(AND(N83="Sex",G83&lt;&gt;"",H83=""),$Z$3-G83,IF(AND(G83&lt;&gt;"",H83=""),$Z$3-G83,IF(AND(N83="Sex",H83&lt;$Y$3),$Z$3-H83,IF(AND(N83&lt;&gt;"Sex",H83&gt;$AA$8),"",IF(AND(N83="Sex",H83&gt;$Z$8),"",IF(AND(N83&lt;&gt;"Sex",I83&gt;$Z$8),$Z$8-H83,IF(AND(N83&lt;&gt;"Sex",H83&lt;$Y$8),$Z$8-H83,"")))))))))))))))</f>
        <v/>
      </c>
      <c r="Q83" s="33"/>
      <c r="R83" s="33"/>
      <c r="S83" s="33"/>
    </row>
    <row r="84" spans="1:19" x14ac:dyDescent="0.25">
      <c r="A84" s="116" t="s">
        <v>190</v>
      </c>
      <c r="B84" s="32">
        <v>43825</v>
      </c>
      <c r="C84" s="39">
        <f t="shared" si="5"/>
        <v>0.33333333333333331</v>
      </c>
      <c r="D84" s="33">
        <v>0.3298611111111111</v>
      </c>
      <c r="E84" s="33">
        <v>0.47986111111111113</v>
      </c>
      <c r="F84" s="39">
        <f t="shared" si="6"/>
        <v>0.52152777777777781</v>
      </c>
      <c r="G84" s="33">
        <v>0.51944444444444449</v>
      </c>
      <c r="H84" s="33">
        <v>0.75</v>
      </c>
      <c r="I84" s="39">
        <f>IFERROR(IF(B84=VLOOKUP(B84,Feriados[],2,0),H84,IF(N84="Sáb",H84,IF(AND(B84&lt;$T$1,H84&lt;=$AA$3),$Z$3,IF(AND(N84="Sex",H84&gt;$AA$3),H84,IF(H84&lt;=$AA$3,$Z$3,IF(H84&lt;=$AA$8,$Z$8,H84)))))),IF(N84="Sáb",H84,IF(AND(B84&lt;$T$1,H84&lt;=$AA$3),$Z$3,IF(AND(N84="Sex",H84&gt;$AA$3),H84,IF(H84&lt;=$AA$3,$Z$3,IF(H84&lt;=$AA$8,$Z$8,H84))))))</f>
        <v>0.75</v>
      </c>
      <c r="J84" s="33">
        <f t="shared" si="7"/>
        <v>0.375</v>
      </c>
      <c r="K84" s="33">
        <f>IFERROR(IF(H84="","",IF(B84=VLOOKUP(B84,Feriados[],2,0),(H84-D84)-(G84-E84),IF(D84&lt;=$Y$4,(I84-D84)-(G84-E84),(I84-C84)-(F84-E84)))),IF(AND(D84&lt;=$Y$4,F84-E84=$AB$1),(I84-D84)-(F84-E84),IF(D84&lt;$Y$4,(I84-D84)-(G84-E84),(I84-C84)-(F84-E84))))</f>
        <v>0.375</v>
      </c>
      <c r="L84" s="40" t="str">
        <f>IF(B84=_xlfn.XLOOKUP(B84,Feriados[FE Oficial],Feriados[FE Talvez],"",0),"",IF(Q84="Compensado","",IF(AND(N84="Sex",D84&lt;$Y$4),($Z$4-D84)+$AB$1-(F84-E84)+(I84-$Z$3),IF(AND(N84="Sex",I84&gt;$Z$3),($AB$1-(F84-E84))+(I84-$Z$3),IF(AND(N84="Sex",E84&lt;&gt;"",D84&lt;$Y$4),($Z$4-D84)+$AB$1-(F84-E84)+(I84-$Z$3),IF(N84="Sáb",(I84-D84)-(G84-E84)-(S84-R84),IF(AND(B84&lt;$T$1,I84&gt;$Z$3),H84-$Z$3,IF(D84&lt;$Y$4,($Z$4-D84)+($AB$1-(F84-E84))+(I84-$Z$8)+(S84-R84),IF(AND(S84&lt;&gt;"",D84&gt;$Z$4),(S84-R84)-($AB$1-(F84-E84)),IF(AND(S84&lt;&gt;"",D84&lt;$Y$4),(S84-R84)-($AB$1-(F84-E84)+($Z$4-D84)),IF(I84&gt;$Z$8,($AB$1-(F84-E84))+(I84-$Z$8),IF(AND(N84="Sex",(F84-E84)&lt;($AB$1-$W$1)),($AB$1-(F84-E84)),IF(AND(O84&gt;($AB$1-$W$1),D84&gt;$Z$4),"",IF(AND(B84&gt;=$T$1,(F84-E84)&gt;($AB$1-$W$1)),"",IF(AND(D84&gt;=$Y$4,I84=$Z$8,S84=""),($AB$1-(F84-E84)),IF(AND(P84&lt;&gt;"",S84&lt;&gt;""),I84-$Z$8,IF(AND(P84&lt;&gt;"",D84&gt;$Y$4),$AB$1-(F84-E84),"")))))))))))))))))</f>
        <v/>
      </c>
      <c r="M84" s="107" t="str">
        <f>IFERROR(IF(H84="","",IF(B84=VLOOKUP(B84,Feriados[],2,0),(H84-D84)-(G84-E84),"")),"")</f>
        <v/>
      </c>
      <c r="N84" s="38" t="str">
        <f t="shared" si="8"/>
        <v>Qua</v>
      </c>
      <c r="O84" s="112">
        <f t="shared" si="9"/>
        <v>3.9583333333333359E-2</v>
      </c>
      <c r="P84" s="113" t="str">
        <f>IF(B84=_xlfn.XLOOKUP(B84,Feriados[FE Oficial],Feriados[FE Talvez],"",0),"",IF(B84&lt;$T$1,"",IF(Q84="Consulta","",IF(Q84="Compensado","",IF(N84="Sáb","",IF(S84&lt;&gt;"",(S84-R84)-(($AB$1-O84)-(D84-$Z$4)),IF(O84&gt;$AB$1,O84-$AB$1,IF(C84&gt;$Z$4,C84-$Z$4,IF(AND(N84="Sex",G84&lt;&gt;"",H84=""),$Z$3-G84,IF(AND(G84&lt;&gt;"",H84=""),$Z$3-G84,IF(AND(N84="Sex",H84&lt;$Y$3),$Z$3-H84,IF(AND(N84&lt;&gt;"Sex",H84&gt;$AA$8),"",IF(AND(N84="Sex",H84&gt;$Z$8),"",IF(AND(N84&lt;&gt;"Sex",I84&gt;$Z$8),$Z$8-H84,IF(AND(N84&lt;&gt;"Sex",H84&lt;$Y$8),$Z$8-H84,"")))))))))))))))</f>
        <v/>
      </c>
      <c r="Q84" s="33"/>
      <c r="R84" s="33"/>
      <c r="S84" s="33"/>
    </row>
    <row r="85" spans="1:19" x14ac:dyDescent="0.25">
      <c r="A85" s="116" t="s">
        <v>194</v>
      </c>
      <c r="B85" s="32">
        <v>43825</v>
      </c>
      <c r="C85" s="39">
        <f t="shared" si="5"/>
        <v>0.33333333333333331</v>
      </c>
      <c r="D85" s="33">
        <v>0.29166666666666669</v>
      </c>
      <c r="E85" s="33">
        <v>0.5</v>
      </c>
      <c r="F85" s="39">
        <f t="shared" si="6"/>
        <v>0.54166666666666663</v>
      </c>
      <c r="G85" s="33">
        <v>0.54166666666666663</v>
      </c>
      <c r="H85" s="33">
        <v>0.75</v>
      </c>
      <c r="I85" s="39">
        <f>IFERROR(IF(B85=VLOOKUP(B85,Feriados[],2,0),H85,IF(N85="Sáb",H85,IF(AND(B85&lt;$T$1,H85&lt;=$AA$3),$Z$3,IF(AND(N85="Sex",H85&gt;$AA$3),H85,IF(H85&lt;=$AA$3,$Z$3,IF(H85&lt;=$AA$8,$Z$8,H85)))))),IF(N85="Sáb",H85,IF(AND(B85&lt;$T$1,H85&lt;=$AA$3),$Z$3,IF(AND(N85="Sex",H85&gt;$AA$3),H85,IF(H85&lt;=$AA$3,$Z$3,IF(H85&lt;=$AA$8,$Z$8,H85))))))</f>
        <v>0.75</v>
      </c>
      <c r="J85" s="33">
        <f t="shared" si="7"/>
        <v>0.375</v>
      </c>
      <c r="K85" s="33">
        <f>IFERROR(IF(H85="","",IF(B85=VLOOKUP(B85,Feriados[],2,0),(H85-D85)-(G85-E85),IF(D85&lt;=$Y$4,(I85-D85)-(G85-E85),(I85-C85)-(F85-E85)))),IF(AND(D85&lt;=$Y$4,F85-E85=$AB$1),(I85-D85)-(F85-E85),IF(D85&lt;$Y$4,(I85-D85)-(G85-E85),(I85-C85)-(F85-E85))))</f>
        <v>0.41666666666666669</v>
      </c>
      <c r="L85" s="40">
        <f>IF(B85=_xlfn.XLOOKUP(B85,Feriados[FE Oficial],Feriados[FE Talvez],"",0),"",IF(Q85="Compensado","",IF(AND(N85="Sex",D85&lt;$Y$4),($Z$4-D85)+$AB$1-(F85-E85)+(I85-$Z$3),IF(AND(N85="Sex",I85&gt;$Z$3),($AB$1-(F85-E85))+(I85-$Z$3),IF(AND(N85="Sex",E85&lt;&gt;"",D85&lt;$Y$4),($Z$4-D85)+$AB$1-(F85-E85)+(I85-$Z$3),IF(N85="Sáb",(I85-D85)-(G85-E85)-(S85-R85),IF(AND(B85&lt;$T$1,I85&gt;$Z$3),H85-$Z$3,IF(D85&lt;$Y$4,($Z$4-D85)+($AB$1-(F85-E85))+(I85-$Z$8)+(S85-R85),IF(AND(S85&lt;&gt;"",D85&gt;$Z$4),(S85-R85)-($AB$1-(F85-E85)),IF(AND(S85&lt;&gt;"",D85&lt;$Y$4),(S85-R85)-($AB$1-(F85-E85)+($Z$4-D85)),IF(I85&gt;$Z$8,($AB$1-(F85-E85))+(I85-$Z$8),IF(AND(N85="Sex",(F85-E85)&lt;($AB$1-$W$1)),($AB$1-(F85-E85)),IF(AND(O85&gt;($AB$1-$W$1),D85&gt;$Z$4),"",IF(AND(B85&gt;=$T$1,(F85-E85)&gt;($AB$1-$W$1)),"",IF(AND(D85&gt;=$Y$4,I85=$Z$8,S85=""),($AB$1-(F85-E85)),IF(AND(P85&lt;&gt;"",S85&lt;&gt;""),I85-$Z$8,IF(AND(P85&lt;&gt;"",D85&gt;$Y$4),$AB$1-(F85-E85),"")))))))))))))))))</f>
        <v>4.1666666666666664E-2</v>
      </c>
      <c r="M85" s="107" t="str">
        <f>IFERROR(IF(H85="","",IF(B85=VLOOKUP(B85,Feriados[],2,0),(H85-D85)-(G85-E85),"")),"")</f>
        <v/>
      </c>
      <c r="N85" s="38" t="str">
        <f t="shared" si="8"/>
        <v>Qua</v>
      </c>
      <c r="O85" s="112">
        <f t="shared" si="9"/>
        <v>4.166666666666663E-2</v>
      </c>
      <c r="P85" s="113" t="str">
        <f>IF(B85=_xlfn.XLOOKUP(B85,Feriados[FE Oficial],Feriados[FE Talvez],"",0),"",IF(B85&lt;$T$1,"",IF(Q85="Consulta","",IF(Q85="Compensado","",IF(N85="Sáb","",IF(S85&lt;&gt;"",(S85-R85)-(($AB$1-O85)-(D85-$Z$4)),IF(O85&gt;$AB$1,O85-$AB$1,IF(C85&gt;$Z$4,C85-$Z$4,IF(AND(N85="Sex",G85&lt;&gt;"",H85=""),$Z$3-G85,IF(AND(G85&lt;&gt;"",H85=""),$Z$3-G85,IF(AND(N85="Sex",H85&lt;$Y$3),$Z$3-H85,IF(AND(N85&lt;&gt;"Sex",H85&gt;$AA$8),"",IF(AND(N85="Sex",H85&gt;$Z$8),"",IF(AND(N85&lt;&gt;"Sex",I85&gt;$Z$8),$Z$8-H85,IF(AND(N85&lt;&gt;"Sex",H85&lt;$Y$8),$Z$8-H85,"")))))))))))))))</f>
        <v/>
      </c>
      <c r="Q85" s="33"/>
      <c r="R85" s="33"/>
      <c r="S85" s="33"/>
    </row>
    <row r="86" spans="1:19" x14ac:dyDescent="0.25">
      <c r="A86" s="116" t="s">
        <v>197</v>
      </c>
      <c r="B86" s="32">
        <v>43825</v>
      </c>
      <c r="C86" s="39">
        <f t="shared" si="5"/>
        <v>0.33333333333333331</v>
      </c>
      <c r="D86" s="33">
        <v>0.33333333333333331</v>
      </c>
      <c r="E86" s="33">
        <v>0.5</v>
      </c>
      <c r="F86" s="39">
        <f t="shared" si="6"/>
        <v>0.54166666666666663</v>
      </c>
      <c r="G86" s="33">
        <v>0.54166666666666663</v>
      </c>
      <c r="H86" s="33">
        <v>0.75</v>
      </c>
      <c r="I86" s="39">
        <f>IFERROR(IF(B86=VLOOKUP(B86,Feriados[],2,0),H86,IF(N86="Sáb",H86,IF(AND(B86&lt;$T$1,H86&lt;=$AA$3),$Z$3,IF(AND(N86="Sex",H86&gt;$AA$3),H86,IF(H86&lt;=$AA$3,$Z$3,IF(H86&lt;=$AA$8,$Z$8,H86)))))),IF(N86="Sáb",H86,IF(AND(B86&lt;$T$1,H86&lt;=$AA$3),$Z$3,IF(AND(N86="Sex",H86&gt;$AA$3),H86,IF(H86&lt;=$AA$3,$Z$3,IF(H86&lt;=$AA$8,$Z$8,H86))))))</f>
        <v>0.75</v>
      </c>
      <c r="J86" s="33">
        <f t="shared" si="7"/>
        <v>0.37500000000000006</v>
      </c>
      <c r="K86" s="33">
        <f>IFERROR(IF(H86="","",IF(B86=VLOOKUP(B86,Feriados[],2,0),(H86-D86)-(G86-E86),IF(D86&lt;=$Y$4,(I86-D86)-(G86-E86),(I86-C86)-(F86-E86)))),IF(AND(D86&lt;=$Y$4,F86-E86=$AB$1),(I86-D86)-(F86-E86),IF(D86&lt;$Y$4,(I86-D86)-(G86-E86),(I86-C86)-(F86-E86))))</f>
        <v>0.37500000000000006</v>
      </c>
      <c r="L86" s="40" t="str">
        <f>IF(B86=_xlfn.XLOOKUP(B86,Feriados[FE Oficial],Feriados[FE Talvez],"",0),"",IF(Q86="Compensado","",IF(AND(N86="Sex",D86&lt;$Y$4),($Z$4-D86)+$AB$1-(F86-E86)+(I86-$Z$3),IF(AND(N86="Sex",I86&gt;$Z$3),($AB$1-(F86-E86))+(I86-$Z$3),IF(AND(N86="Sex",E86&lt;&gt;"",D86&lt;$Y$4),($Z$4-D86)+$AB$1-(F86-E86)+(I86-$Z$3),IF(N86="Sáb",(I86-D86)-(G86-E86)-(S86-R86),IF(AND(B86&lt;$T$1,I86&gt;$Z$3),H86-$Z$3,IF(D86&lt;$Y$4,($Z$4-D86)+($AB$1-(F86-E86))+(I86-$Z$8)+(S86-R86),IF(AND(S86&lt;&gt;"",D86&gt;$Z$4),(S86-R86)-($AB$1-(F86-E86)),IF(AND(S86&lt;&gt;"",D86&lt;$Y$4),(S86-R86)-($AB$1-(F86-E86)+($Z$4-D86)),IF(I86&gt;$Z$8,($AB$1-(F86-E86))+(I86-$Z$8),IF(AND(N86="Sex",(F86-E86)&lt;($AB$1-$W$1)),($AB$1-(F86-E86)),IF(AND(O86&gt;($AB$1-$W$1),D86&gt;$Z$4),"",IF(AND(B86&gt;=$T$1,(F86-E86)&gt;($AB$1-$W$1)),"",IF(AND(D86&gt;=$Y$4,I86=$Z$8,S86=""),($AB$1-(F86-E86)),IF(AND(P86&lt;&gt;"",S86&lt;&gt;""),I86-$Z$8,IF(AND(P86&lt;&gt;"",D86&gt;$Y$4),$AB$1-(F86-E86),"")))))))))))))))))</f>
        <v/>
      </c>
      <c r="M86" s="107" t="str">
        <f>IFERROR(IF(H86="","",IF(B86=VLOOKUP(B86,Feriados[],2,0),(H86-D86)-(G86-E86),"")),"")</f>
        <v/>
      </c>
      <c r="N86" s="38" t="str">
        <f t="shared" si="8"/>
        <v>Qua</v>
      </c>
      <c r="O86" s="112">
        <f t="shared" si="9"/>
        <v>4.166666666666663E-2</v>
      </c>
      <c r="P86" s="113" t="str">
        <f>IF(B86=_xlfn.XLOOKUP(B86,Feriados[FE Oficial],Feriados[FE Talvez],"",0),"",IF(B86&lt;$T$1,"",IF(Q86="Consulta","",IF(Q86="Compensado","",IF(N86="Sáb","",IF(S86&lt;&gt;"",(S86-R86)-(($AB$1-O86)-(D86-$Z$4)),IF(O86&gt;$AB$1,O86-$AB$1,IF(C86&gt;$Z$4,C86-$Z$4,IF(AND(N86="Sex",G86&lt;&gt;"",H86=""),$Z$3-G86,IF(AND(G86&lt;&gt;"",H86=""),$Z$3-G86,IF(AND(N86="Sex",H86&lt;$Y$3),$Z$3-H86,IF(AND(N86&lt;&gt;"Sex",H86&gt;$AA$8),"",IF(AND(N86="Sex",H86&gt;$Z$8),"",IF(AND(N86&lt;&gt;"Sex",I86&gt;$Z$8),$Z$8-H86,IF(AND(N86&lt;&gt;"Sex",H86&lt;$Y$8),$Z$8-H86,"")))))))))))))))</f>
        <v/>
      </c>
      <c r="Q86" s="33"/>
      <c r="R86" s="33"/>
      <c r="S86" s="33"/>
    </row>
    <row r="87" spans="1:19" x14ac:dyDescent="0.25">
      <c r="A87" s="116" t="s">
        <v>175</v>
      </c>
      <c r="B87" s="32">
        <v>43825</v>
      </c>
      <c r="C87" s="39">
        <f t="shared" si="5"/>
        <v>0.33333333333333331</v>
      </c>
      <c r="D87" s="33">
        <v>0.33333333333333331</v>
      </c>
      <c r="E87" s="33">
        <v>0.5</v>
      </c>
      <c r="F87" s="39">
        <f t="shared" si="6"/>
        <v>0.54166666666666663</v>
      </c>
      <c r="G87" s="33">
        <v>0.54166666666666663</v>
      </c>
      <c r="H87" s="33">
        <v>0.75</v>
      </c>
      <c r="I87" s="39">
        <f>IFERROR(IF(B87=VLOOKUP(B87,Feriados[],2,0),H87,IF(N87="Sáb",H87,IF(AND(B87&lt;$T$1,H87&lt;=$AA$3),$Z$3,IF(AND(N87="Sex",H87&gt;$AA$3),H87,IF(H87&lt;=$AA$3,$Z$3,IF(H87&lt;=$AA$8,$Z$8,H87)))))),IF(N87="Sáb",H87,IF(AND(B87&lt;$T$1,H87&lt;=$AA$3),$Z$3,IF(AND(N87="Sex",H87&gt;$AA$3),H87,IF(H87&lt;=$AA$3,$Z$3,IF(H87&lt;=$AA$8,$Z$8,H87))))))</f>
        <v>0.75</v>
      </c>
      <c r="J87" s="33">
        <f t="shared" si="7"/>
        <v>0.37500000000000006</v>
      </c>
      <c r="K87" s="33">
        <f>IFERROR(IF(H87="","",IF(B87=VLOOKUP(B87,Feriados[],2,0),(H87-D87)-(G87-E87),IF(D87&lt;=$Y$4,(I87-D87)-(G87-E87),(I87-C87)-(F87-E87)))),IF(AND(D87&lt;=$Y$4,F87-E87=$AB$1),(I87-D87)-(F87-E87),IF(D87&lt;$Y$4,(I87-D87)-(G87-E87),(I87-C87)-(F87-E87))))</f>
        <v>0.37500000000000006</v>
      </c>
      <c r="L87" s="40" t="str">
        <f>IF(B87=_xlfn.XLOOKUP(B87,Feriados[FE Oficial],Feriados[FE Talvez],"",0),"",IF(Q87="Compensado","",IF(AND(N87="Sex",D87&lt;$Y$4),($Z$4-D87)+$AB$1-(F87-E87)+(I87-$Z$3),IF(AND(N87="Sex",I87&gt;$Z$3),($AB$1-(F87-E87))+(I87-$Z$3),IF(AND(N87="Sex",E87&lt;&gt;"",D87&lt;$Y$4),($Z$4-D87)+$AB$1-(F87-E87)+(I87-$Z$3),IF(N87="Sáb",(I87-D87)-(G87-E87)-(S87-R87),IF(AND(B87&lt;$T$1,I87&gt;$Z$3),H87-$Z$3,IF(D87&lt;$Y$4,($Z$4-D87)+($AB$1-(F87-E87))+(I87-$Z$8)+(S87-R87),IF(AND(S87&lt;&gt;"",D87&gt;$Z$4),(S87-R87)-($AB$1-(F87-E87)),IF(AND(S87&lt;&gt;"",D87&lt;$Y$4),(S87-R87)-($AB$1-(F87-E87)+($Z$4-D87)),IF(I87&gt;$Z$8,($AB$1-(F87-E87))+(I87-$Z$8),IF(AND(N87="Sex",(F87-E87)&lt;($AB$1-$W$1)),($AB$1-(F87-E87)),IF(AND(O87&gt;($AB$1-$W$1),D87&gt;$Z$4),"",IF(AND(B87&gt;=$T$1,(F87-E87)&gt;($AB$1-$W$1)),"",IF(AND(D87&gt;=$Y$4,I87=$Z$8,S87=""),($AB$1-(F87-E87)),IF(AND(P87&lt;&gt;"",S87&lt;&gt;""),I87-$Z$8,IF(AND(P87&lt;&gt;"",D87&gt;$Y$4),$AB$1-(F87-E87),"")))))))))))))))))</f>
        <v/>
      </c>
      <c r="M87" s="107" t="str">
        <f>IFERROR(IF(H87="","",IF(B87=VLOOKUP(B87,Feriados[],2,0),(H87-D87)-(G87-E87),"")),"")</f>
        <v/>
      </c>
      <c r="N87" s="38" t="str">
        <f t="shared" si="8"/>
        <v>Qua</v>
      </c>
      <c r="O87" s="112">
        <f t="shared" si="9"/>
        <v>4.166666666666663E-2</v>
      </c>
      <c r="P87" s="113" t="str">
        <f>IF(B87=_xlfn.XLOOKUP(B87,Feriados[FE Oficial],Feriados[FE Talvez],"",0),"",IF(B87&lt;$T$1,"",IF(Q87="Consulta","",IF(Q87="Compensado","",IF(N87="Sáb","",IF(S87&lt;&gt;"",(S87-R87)-(($AB$1-O87)-(D87-$Z$4)),IF(O87&gt;$AB$1,O87-$AB$1,IF(C87&gt;$Z$4,C87-$Z$4,IF(AND(N87="Sex",G87&lt;&gt;"",H87=""),$Z$3-G87,IF(AND(G87&lt;&gt;"",H87=""),$Z$3-G87,IF(AND(N87="Sex",H87&lt;$Y$3),$Z$3-H87,IF(AND(N87&lt;&gt;"Sex",H87&gt;$AA$8),"",IF(AND(N87="Sex",H87&gt;$Z$8),"",IF(AND(N87&lt;&gt;"Sex",I87&gt;$Z$8),$Z$8-H87,IF(AND(N87&lt;&gt;"Sex",H87&lt;$Y$8),$Z$8-H87,"")))))))))))))))</f>
        <v/>
      </c>
      <c r="Q87" s="33"/>
      <c r="R87" s="33"/>
      <c r="S87" s="33"/>
    </row>
    <row r="88" spans="1:19" x14ac:dyDescent="0.25">
      <c r="A88" s="116" t="s">
        <v>182</v>
      </c>
      <c r="B88" s="32">
        <v>43825</v>
      </c>
      <c r="C88" s="39">
        <f t="shared" si="5"/>
        <v>0.33333333333333331</v>
      </c>
      <c r="D88" s="33">
        <v>0.33333333333333331</v>
      </c>
      <c r="E88" s="33">
        <v>0.5</v>
      </c>
      <c r="F88" s="39">
        <f t="shared" si="6"/>
        <v>0.54166666666666663</v>
      </c>
      <c r="G88" s="33">
        <v>0.54166666666666663</v>
      </c>
      <c r="H88" s="33">
        <v>0.75</v>
      </c>
      <c r="I88" s="39">
        <f>IFERROR(IF(B88=VLOOKUP(B88,Feriados[],2,0),H88,IF(N88="Sáb",H88,IF(AND(B88&lt;$T$1,H88&lt;=$AA$3),$Z$3,IF(AND(N88="Sex",H88&gt;$AA$3),H88,IF(H88&lt;=$AA$3,$Z$3,IF(H88&lt;=$AA$8,$Z$8,H88)))))),IF(N88="Sáb",H88,IF(AND(B88&lt;$T$1,H88&lt;=$AA$3),$Z$3,IF(AND(N88="Sex",H88&gt;$AA$3),H88,IF(H88&lt;=$AA$3,$Z$3,IF(H88&lt;=$AA$8,$Z$8,H88))))))</f>
        <v>0.75</v>
      </c>
      <c r="J88" s="33">
        <f t="shared" si="7"/>
        <v>0.37500000000000006</v>
      </c>
      <c r="K88" s="33">
        <f>IFERROR(IF(H88="","",IF(B88=VLOOKUP(B88,Feriados[],2,0),(H88-D88)-(G88-E88),IF(D88&lt;=$Y$4,(I88-D88)-(G88-E88),(I88-C88)-(F88-E88)))),IF(AND(D88&lt;=$Y$4,F88-E88=$AB$1),(I88-D88)-(F88-E88),IF(D88&lt;$Y$4,(I88-D88)-(G88-E88),(I88-C88)-(F88-E88))))</f>
        <v>0.37500000000000006</v>
      </c>
      <c r="L88" s="40" t="str">
        <f>IF(B88=_xlfn.XLOOKUP(B88,Feriados[FE Oficial],Feriados[FE Talvez],"",0),"",IF(Q88="Compensado","",IF(AND(N88="Sex",D88&lt;$Y$4),($Z$4-D88)+$AB$1-(F88-E88)+(I88-$Z$3),IF(AND(N88="Sex",I88&gt;$Z$3),($AB$1-(F88-E88))+(I88-$Z$3),IF(AND(N88="Sex",E88&lt;&gt;"",D88&lt;$Y$4),($Z$4-D88)+$AB$1-(F88-E88)+(I88-$Z$3),IF(N88="Sáb",(I88-D88)-(G88-E88)-(S88-R88),IF(AND(B88&lt;$T$1,I88&gt;$Z$3),H88-$Z$3,IF(D88&lt;$Y$4,($Z$4-D88)+($AB$1-(F88-E88))+(I88-$Z$8)+(S88-R88),IF(AND(S88&lt;&gt;"",D88&gt;$Z$4),(S88-R88)-($AB$1-(F88-E88)),IF(AND(S88&lt;&gt;"",D88&lt;$Y$4),(S88-R88)-($AB$1-(F88-E88)+($Z$4-D88)),IF(I88&gt;$Z$8,($AB$1-(F88-E88))+(I88-$Z$8),IF(AND(N88="Sex",(F88-E88)&lt;($AB$1-$W$1)),($AB$1-(F88-E88)),IF(AND(O88&gt;($AB$1-$W$1),D88&gt;$Z$4),"",IF(AND(B88&gt;=$T$1,(F88-E88)&gt;($AB$1-$W$1)),"",IF(AND(D88&gt;=$Y$4,I88=$Z$8,S88=""),($AB$1-(F88-E88)),IF(AND(P88&lt;&gt;"",S88&lt;&gt;""),I88-$Z$8,IF(AND(P88&lt;&gt;"",D88&gt;$Y$4),$AB$1-(F88-E88),"")))))))))))))))))</f>
        <v/>
      </c>
      <c r="M88" s="107" t="str">
        <f>IFERROR(IF(H88="","",IF(B88=VLOOKUP(B88,Feriados[],2,0),(H88-D88)-(G88-E88),"")),"")</f>
        <v/>
      </c>
      <c r="N88" s="38" t="str">
        <f t="shared" si="8"/>
        <v>Qua</v>
      </c>
      <c r="O88" s="112">
        <f t="shared" si="9"/>
        <v>4.166666666666663E-2</v>
      </c>
      <c r="P88" s="113" t="str">
        <f>IF(B88=_xlfn.XLOOKUP(B88,Feriados[FE Oficial],Feriados[FE Talvez],"",0),"",IF(B88&lt;$T$1,"",IF(Q88="Consulta","",IF(Q88="Compensado","",IF(N88="Sáb","",IF(S88&lt;&gt;"",(S88-R88)-(($AB$1-O88)-(D88-$Z$4)),IF(O88&gt;$AB$1,O88-$AB$1,IF(C88&gt;$Z$4,C88-$Z$4,IF(AND(N88="Sex",G88&lt;&gt;"",H88=""),$Z$3-G88,IF(AND(G88&lt;&gt;"",H88=""),$Z$3-G88,IF(AND(N88="Sex",H88&lt;$Y$3),$Z$3-H88,IF(AND(N88&lt;&gt;"Sex",H88&gt;$AA$8),"",IF(AND(N88="Sex",H88&gt;$Z$8),"",IF(AND(N88&lt;&gt;"Sex",I88&gt;$Z$8),$Z$8-H88,IF(AND(N88&lt;&gt;"Sex",H88&lt;$Y$8),$Z$8-H88,"")))))))))))))))</f>
        <v/>
      </c>
      <c r="Q88" s="33"/>
      <c r="R88" s="33"/>
      <c r="S88" s="33"/>
    </row>
    <row r="89" spans="1:19" x14ac:dyDescent="0.25">
      <c r="A89" s="116" t="s">
        <v>191</v>
      </c>
      <c r="B89" s="32">
        <v>43825</v>
      </c>
      <c r="C89" s="39">
        <f t="shared" si="5"/>
        <v>0.33333333333333331</v>
      </c>
      <c r="D89" s="33">
        <v>0.33333333333333331</v>
      </c>
      <c r="E89" s="33">
        <v>0.5</v>
      </c>
      <c r="F89" s="39">
        <f t="shared" si="6"/>
        <v>0.54166666666666663</v>
      </c>
      <c r="G89" s="33">
        <v>0.54166666666666663</v>
      </c>
      <c r="H89" s="33">
        <v>0.75</v>
      </c>
      <c r="I89" s="39">
        <f>IFERROR(IF(B89=VLOOKUP(B89,Feriados[],2,0),H89,IF(N89="Sáb",H89,IF(AND(B89&lt;$T$1,H89&lt;=$AA$3),$Z$3,IF(AND(N89="Sex",H89&gt;$AA$3),H89,IF(H89&lt;=$AA$3,$Z$3,IF(H89&lt;=$AA$8,$Z$8,H89)))))),IF(N89="Sáb",H89,IF(AND(B89&lt;$T$1,H89&lt;=$AA$3),$Z$3,IF(AND(N89="Sex",H89&gt;$AA$3),H89,IF(H89&lt;=$AA$3,$Z$3,IF(H89&lt;=$AA$8,$Z$8,H89))))))</f>
        <v>0.75</v>
      </c>
      <c r="J89" s="33">
        <f t="shared" si="7"/>
        <v>0.37500000000000006</v>
      </c>
      <c r="K89" s="33">
        <f>IFERROR(IF(H89="","",IF(B89=VLOOKUP(B89,Feriados[],2,0),(H89-D89)-(G89-E89),IF(D89&lt;=$Y$4,(I89-D89)-(G89-E89),(I89-C89)-(F89-E89)))),IF(AND(D89&lt;=$Y$4,F89-E89=$AB$1),(I89-D89)-(F89-E89),IF(D89&lt;$Y$4,(I89-D89)-(G89-E89),(I89-C89)-(F89-E89))))</f>
        <v>0.37500000000000006</v>
      </c>
      <c r="L89" s="40" t="str">
        <f>IF(B89=_xlfn.XLOOKUP(B89,Feriados[FE Oficial],Feriados[FE Talvez],"",0),"",IF(Q89="Compensado","",IF(AND(N89="Sex",D89&lt;$Y$4),($Z$4-D89)+$AB$1-(F89-E89)+(I89-$Z$3),IF(AND(N89="Sex",I89&gt;$Z$3),($AB$1-(F89-E89))+(I89-$Z$3),IF(AND(N89="Sex",E89&lt;&gt;"",D89&lt;$Y$4),($Z$4-D89)+$AB$1-(F89-E89)+(I89-$Z$3),IF(N89="Sáb",(I89-D89)-(G89-E89)-(S89-R89),IF(AND(B89&lt;$T$1,I89&gt;$Z$3),H89-$Z$3,IF(D89&lt;$Y$4,($Z$4-D89)+($AB$1-(F89-E89))+(I89-$Z$8)+(S89-R89),IF(AND(S89&lt;&gt;"",D89&gt;$Z$4),(S89-R89)-($AB$1-(F89-E89)),IF(AND(S89&lt;&gt;"",D89&lt;$Y$4),(S89-R89)-($AB$1-(F89-E89)+($Z$4-D89)),IF(I89&gt;$Z$8,($AB$1-(F89-E89))+(I89-$Z$8),IF(AND(N89="Sex",(F89-E89)&lt;($AB$1-$W$1)),($AB$1-(F89-E89)),IF(AND(O89&gt;($AB$1-$W$1),D89&gt;$Z$4),"",IF(AND(B89&gt;=$T$1,(F89-E89)&gt;($AB$1-$W$1)),"",IF(AND(D89&gt;=$Y$4,I89=$Z$8,S89=""),($AB$1-(F89-E89)),IF(AND(P89&lt;&gt;"",S89&lt;&gt;""),I89-$Z$8,IF(AND(P89&lt;&gt;"",D89&gt;$Y$4),$AB$1-(F89-E89),"")))))))))))))))))</f>
        <v/>
      </c>
      <c r="M89" s="107" t="str">
        <f>IFERROR(IF(H89="","",IF(B89=VLOOKUP(B89,Feriados[],2,0),(H89-D89)-(G89-E89),"")),"")</f>
        <v/>
      </c>
      <c r="N89" s="38" t="str">
        <f t="shared" si="8"/>
        <v>Qua</v>
      </c>
      <c r="O89" s="112">
        <f t="shared" si="9"/>
        <v>4.166666666666663E-2</v>
      </c>
      <c r="P89" s="113" t="str">
        <f>IF(B89=_xlfn.XLOOKUP(B89,Feriados[FE Oficial],Feriados[FE Talvez],"",0),"",IF(B89&lt;$T$1,"",IF(Q89="Consulta","",IF(Q89="Compensado","",IF(N89="Sáb","",IF(S89&lt;&gt;"",(S89-R89)-(($AB$1-O89)-(D89-$Z$4)),IF(O89&gt;$AB$1,O89-$AB$1,IF(C89&gt;$Z$4,C89-$Z$4,IF(AND(N89="Sex",G89&lt;&gt;"",H89=""),$Z$3-G89,IF(AND(G89&lt;&gt;"",H89=""),$Z$3-G89,IF(AND(N89="Sex",H89&lt;$Y$3),$Z$3-H89,IF(AND(N89&lt;&gt;"Sex",H89&gt;$AA$8),"",IF(AND(N89="Sex",H89&gt;$Z$8),"",IF(AND(N89&lt;&gt;"Sex",I89&gt;$Z$8),$Z$8-H89,IF(AND(N89&lt;&gt;"Sex",H89&lt;$Y$8),$Z$8-H89,"")))))))))))))))</f>
        <v/>
      </c>
      <c r="Q89" s="33"/>
      <c r="R89" s="33"/>
      <c r="S89" s="33"/>
    </row>
    <row r="90" spans="1:19" x14ac:dyDescent="0.25">
      <c r="A90" s="116" t="s">
        <v>190</v>
      </c>
      <c r="B90" s="32">
        <v>43826</v>
      </c>
      <c r="C90" s="39">
        <f t="shared" si="5"/>
        <v>0.33333333333333331</v>
      </c>
      <c r="D90" s="33">
        <v>0.32500000000000001</v>
      </c>
      <c r="E90" s="33">
        <v>0.48125000000000001</v>
      </c>
      <c r="F90" s="39">
        <f t="shared" si="6"/>
        <v>0.5229166666666667</v>
      </c>
      <c r="G90" s="33">
        <v>0.52013888888888882</v>
      </c>
      <c r="H90" s="33">
        <v>0.75</v>
      </c>
      <c r="I90" s="39">
        <f>IFERROR(IF(B90=VLOOKUP(B90,Feriados[],2,0),H90,IF(N90="Sáb",H90,IF(AND(B90&lt;$T$1,H90&lt;=$AA$3),$Z$3,IF(AND(N90="Sex",H90&gt;$AA$3),H90,IF(H90&lt;=$AA$3,$Z$3,IF(H90&lt;=$AA$8,$Z$8,H90)))))),IF(N90="Sáb",H90,IF(AND(B90&lt;$T$1,H90&lt;=$AA$3),$Z$3,IF(AND(N90="Sex",H90&gt;$AA$3),H90,IF(H90&lt;=$AA$3,$Z$3,IF(H90&lt;=$AA$8,$Z$8,H90))))))</f>
        <v>0.75</v>
      </c>
      <c r="J90" s="33">
        <f t="shared" si="7"/>
        <v>0.375</v>
      </c>
      <c r="K90" s="33">
        <f>IFERROR(IF(H90="","",IF(B90=VLOOKUP(B90,Feriados[],2,0),(H90-D90)-(G90-E90),IF(D90&lt;=$Y$4,(I90-D90)-(G90-E90),(I90-C90)-(F90-E90)))),IF(AND(D90&lt;=$Y$4,F90-E90=$AB$1),(I90-D90)-(F90-E90),IF(D90&lt;$Y$4,(I90-D90)-(G90-E90),(I90-C90)-(F90-E90))))</f>
        <v>0.3833333333333333</v>
      </c>
      <c r="L90" s="40">
        <f>IF(B90=_xlfn.XLOOKUP(B90,Feriados[FE Oficial],Feriados[FE Talvez],"",0),"",IF(Q90="Compensado","",IF(AND(N90="Sex",D90&lt;$Y$4),($Z$4-D90)+$AB$1-(F90-E90)+(I90-$Z$3),IF(AND(N90="Sex",I90&gt;$Z$3),($AB$1-(F90-E90))+(I90-$Z$3),IF(AND(N90="Sex",E90&lt;&gt;"",D90&lt;$Y$4),($Z$4-D90)+$AB$1-(F90-E90)+(I90-$Z$3),IF(N90="Sáb",(I90-D90)-(G90-E90)-(S90-R90),IF(AND(B90&lt;$T$1,I90&gt;$Z$3),H90-$Z$3,IF(D90&lt;$Y$4,($Z$4-D90)+($AB$1-(F90-E90))+(I90-$Z$8)+(S90-R90),IF(AND(S90&lt;&gt;"",D90&gt;$Z$4),(S90-R90)-($AB$1-(F90-E90)),IF(AND(S90&lt;&gt;"",D90&lt;$Y$4),(S90-R90)-($AB$1-(F90-E90)+($Z$4-D90)),IF(I90&gt;$Z$8,($AB$1-(F90-E90))+(I90-$Z$8),IF(AND(N90="Sex",(F90-E90)&lt;($AB$1-$W$1)),($AB$1-(F90-E90)),IF(AND(O90&gt;($AB$1-$W$1),D90&gt;$Z$4),"",IF(AND(B90&gt;=$T$1,(F90-E90)&gt;($AB$1-$W$1)),"",IF(AND(D90&gt;=$Y$4,I90=$Z$8,S90=""),($AB$1-(F90-E90)),IF(AND(P90&lt;&gt;"",S90&lt;&gt;""),I90-$Z$8,IF(AND(P90&lt;&gt;"",D90&gt;$Y$4),$AB$1-(F90-E90),"")))))))))))))))))</f>
        <v>8.3333333333332829E-3</v>
      </c>
      <c r="M90" s="107" t="str">
        <f>IFERROR(IF(H90="","",IF(B90=VLOOKUP(B90,Feriados[],2,0),(H90-D90)-(G90-E90),"")),"")</f>
        <v/>
      </c>
      <c r="N90" s="38" t="str">
        <f t="shared" si="8"/>
        <v>Qui</v>
      </c>
      <c r="O90" s="112">
        <f t="shared" si="9"/>
        <v>3.8888888888888806E-2</v>
      </c>
      <c r="P90" s="113" t="str">
        <f>IF(B90=_xlfn.XLOOKUP(B90,Feriados[FE Oficial],Feriados[FE Talvez],"",0),"",IF(B90&lt;$T$1,"",IF(Q90="Consulta","",IF(Q90="Compensado","",IF(N90="Sáb","",IF(S90&lt;&gt;"",(S90-R90)-(($AB$1-O90)-(D90-$Z$4)),IF(O90&gt;$AB$1,O90-$AB$1,IF(C90&gt;$Z$4,C90-$Z$4,IF(AND(N90="Sex",G90&lt;&gt;"",H90=""),$Z$3-G90,IF(AND(G90&lt;&gt;"",H90=""),$Z$3-G90,IF(AND(N90="Sex",H90&lt;$Y$3),$Z$3-H90,IF(AND(N90&lt;&gt;"Sex",H90&gt;$AA$8),"",IF(AND(N90="Sex",H90&gt;$Z$8),"",IF(AND(N90&lt;&gt;"Sex",I90&gt;$Z$8),$Z$8-H90,IF(AND(N90&lt;&gt;"Sex",H90&lt;$Y$8),$Z$8-H90,"")))))))))))))))</f>
        <v/>
      </c>
      <c r="Q90" s="33"/>
      <c r="R90" s="33"/>
      <c r="S90" s="33"/>
    </row>
    <row r="91" spans="1:19" x14ac:dyDescent="0.25">
      <c r="A91" s="116" t="s">
        <v>175</v>
      </c>
      <c r="B91" s="32">
        <v>43826</v>
      </c>
      <c r="C91" s="39">
        <f t="shared" si="5"/>
        <v>0.33333333333333331</v>
      </c>
      <c r="D91" s="33">
        <v>0.32500000000000001</v>
      </c>
      <c r="E91" s="33">
        <v>0.5</v>
      </c>
      <c r="F91" s="39">
        <f t="shared" si="6"/>
        <v>0.54166666666666663</v>
      </c>
      <c r="G91" s="33">
        <v>0.54166666666666663</v>
      </c>
      <c r="H91" s="33">
        <v>0.75</v>
      </c>
      <c r="I91" s="39">
        <f>IFERROR(IF(B91=VLOOKUP(B91,Feriados[],2,0),H91,IF(N91="Sáb",H91,IF(AND(B91&lt;$T$1,H91&lt;=$AA$3),$Z$3,IF(AND(N91="Sex",H91&gt;$AA$3),H91,IF(H91&lt;=$AA$3,$Z$3,IF(H91&lt;=$AA$8,$Z$8,H91)))))),IF(N91="Sáb",H91,IF(AND(B91&lt;$T$1,H91&lt;=$AA$3),$Z$3,IF(AND(N91="Sex",H91&gt;$AA$3),H91,IF(H91&lt;=$AA$3,$Z$3,IF(H91&lt;=$AA$8,$Z$8,H91))))))</f>
        <v>0.75</v>
      </c>
      <c r="J91" s="33">
        <f t="shared" si="7"/>
        <v>0.375</v>
      </c>
      <c r="K91" s="33">
        <f>IFERROR(IF(H91="","",IF(B91=VLOOKUP(B91,Feriados[],2,0),(H91-D91)-(G91-E91),IF(D91&lt;=$Y$4,(I91-D91)-(G91-E91),(I91-C91)-(F91-E91)))),IF(AND(D91&lt;=$Y$4,F91-E91=$AB$1),(I91-D91)-(F91-E91),IF(D91&lt;$Y$4,(I91-D91)-(G91-E91),(I91-C91)-(F91-E91))))</f>
        <v>0.38333333333333336</v>
      </c>
      <c r="L91" s="40">
        <f>IF(B91=_xlfn.XLOOKUP(B91,Feriados[FE Oficial],Feriados[FE Talvez],"",0),"",IF(Q91="Compensado","",IF(AND(N91="Sex",D91&lt;$Y$4),($Z$4-D91)+$AB$1-(F91-E91)+(I91-$Z$3),IF(AND(N91="Sex",I91&gt;$Z$3),($AB$1-(F91-E91))+(I91-$Z$3),IF(AND(N91="Sex",E91&lt;&gt;"",D91&lt;$Y$4),($Z$4-D91)+$AB$1-(F91-E91)+(I91-$Z$3),IF(N91="Sáb",(I91-D91)-(G91-E91)-(S91-R91),IF(AND(B91&lt;$T$1,I91&gt;$Z$3),H91-$Z$3,IF(D91&lt;$Y$4,($Z$4-D91)+($AB$1-(F91-E91))+(I91-$Z$8)+(S91-R91),IF(AND(S91&lt;&gt;"",D91&gt;$Z$4),(S91-R91)-($AB$1-(F91-E91)),IF(AND(S91&lt;&gt;"",D91&lt;$Y$4),(S91-R91)-($AB$1-(F91-E91)+($Z$4-D91)),IF(I91&gt;$Z$8,($AB$1-(F91-E91))+(I91-$Z$8),IF(AND(N91="Sex",(F91-E91)&lt;($AB$1-$W$1)),($AB$1-(F91-E91)),IF(AND(O91&gt;($AB$1-$W$1),D91&gt;$Z$4),"",IF(AND(B91&gt;=$T$1,(F91-E91)&gt;($AB$1-$W$1)),"",IF(AND(D91&gt;=$Y$4,I91=$Z$8,S91=""),($AB$1-(F91-E91)),IF(AND(P91&lt;&gt;"",S91&lt;&gt;""),I91-$Z$8,IF(AND(P91&lt;&gt;"",D91&gt;$Y$4),$AB$1-(F91-E91),"")))))))))))))))))</f>
        <v>8.3333333333333384E-3</v>
      </c>
      <c r="M91" s="107" t="str">
        <f>IFERROR(IF(H91="","",IF(B91=VLOOKUP(B91,Feriados[],2,0),(H91-D91)-(G91-E91),"")),"")</f>
        <v/>
      </c>
      <c r="N91" s="38" t="str">
        <f t="shared" si="8"/>
        <v>Qui</v>
      </c>
      <c r="O91" s="112">
        <f t="shared" si="9"/>
        <v>4.166666666666663E-2</v>
      </c>
      <c r="P91" s="113" t="str">
        <f>IF(B91=_xlfn.XLOOKUP(B91,Feriados[FE Oficial],Feriados[FE Talvez],"",0),"",IF(B91&lt;$T$1,"",IF(Q91="Consulta","",IF(Q91="Compensado","",IF(N91="Sáb","",IF(S91&lt;&gt;"",(S91-R91)-(($AB$1-O91)-(D91-$Z$4)),IF(O91&gt;$AB$1,O91-$AB$1,IF(C91&gt;$Z$4,C91-$Z$4,IF(AND(N91="Sex",G91&lt;&gt;"",H91=""),$Z$3-G91,IF(AND(G91&lt;&gt;"",H91=""),$Z$3-G91,IF(AND(N91="Sex",H91&lt;$Y$3),$Z$3-H91,IF(AND(N91&lt;&gt;"Sex",H91&gt;$AA$8),"",IF(AND(N91="Sex",H91&gt;$Z$8),"",IF(AND(N91&lt;&gt;"Sex",I91&gt;$Z$8),$Z$8-H91,IF(AND(N91&lt;&gt;"Sex",H91&lt;$Y$8),$Z$8-H91,"")))))))))))))))</f>
        <v/>
      </c>
      <c r="Q91" s="33"/>
      <c r="R91" s="33"/>
      <c r="S91" s="33"/>
    </row>
    <row r="92" spans="1:19" x14ac:dyDescent="0.25">
      <c r="A92" s="116" t="s">
        <v>197</v>
      </c>
      <c r="B92" s="32">
        <v>43826</v>
      </c>
      <c r="C92" s="39">
        <f t="shared" si="5"/>
        <v>0.33333333333333331</v>
      </c>
      <c r="D92" s="33">
        <v>0.33124999999999999</v>
      </c>
      <c r="E92" s="33">
        <v>0.5</v>
      </c>
      <c r="F92" s="39">
        <f t="shared" si="6"/>
        <v>0.54166666666666663</v>
      </c>
      <c r="G92" s="33">
        <v>0.54166666666666663</v>
      </c>
      <c r="H92" s="33">
        <v>0.75</v>
      </c>
      <c r="I92" s="39">
        <f>IFERROR(IF(B92=VLOOKUP(B92,Feriados[],2,0),H92,IF(N92="Sáb",H92,IF(AND(B92&lt;$T$1,H92&lt;=$AA$3),$Z$3,IF(AND(N92="Sex",H92&gt;$AA$3),H92,IF(H92&lt;=$AA$3,$Z$3,IF(H92&lt;=$AA$8,$Z$8,H92)))))),IF(N92="Sáb",H92,IF(AND(B92&lt;$T$1,H92&lt;=$AA$3),$Z$3,IF(AND(N92="Sex",H92&gt;$AA$3),H92,IF(H92&lt;=$AA$3,$Z$3,IF(H92&lt;=$AA$8,$Z$8,H92))))))</f>
        <v>0.75</v>
      </c>
      <c r="J92" s="33">
        <f t="shared" si="7"/>
        <v>0.375</v>
      </c>
      <c r="K92" s="33">
        <f>IFERROR(IF(H92="","",IF(B92=VLOOKUP(B92,Feriados[],2,0),(H92-D92)-(G92-E92),IF(D92&lt;=$Y$4,(I92-D92)-(G92-E92),(I92-C92)-(F92-E92)))),IF(AND(D92&lt;=$Y$4,F92-E92=$AB$1),(I92-D92)-(F92-E92),IF(D92&lt;$Y$4,(I92-D92)-(G92-E92),(I92-C92)-(F92-E92))))</f>
        <v>0.37500000000000006</v>
      </c>
      <c r="L92" s="40" t="str">
        <f>IF(B92=_xlfn.XLOOKUP(B92,Feriados[FE Oficial],Feriados[FE Talvez],"",0),"",IF(Q92="Compensado","",IF(AND(N92="Sex",D92&lt;$Y$4),($Z$4-D92)+$AB$1-(F92-E92)+(I92-$Z$3),IF(AND(N92="Sex",I92&gt;$Z$3),($AB$1-(F92-E92))+(I92-$Z$3),IF(AND(N92="Sex",E92&lt;&gt;"",D92&lt;$Y$4),($Z$4-D92)+$AB$1-(F92-E92)+(I92-$Z$3),IF(N92="Sáb",(I92-D92)-(G92-E92)-(S92-R92),IF(AND(B92&lt;$T$1,I92&gt;$Z$3),H92-$Z$3,IF(D92&lt;$Y$4,($Z$4-D92)+($AB$1-(F92-E92))+(I92-$Z$8)+(S92-R92),IF(AND(S92&lt;&gt;"",D92&gt;$Z$4),(S92-R92)-($AB$1-(F92-E92)),IF(AND(S92&lt;&gt;"",D92&lt;$Y$4),(S92-R92)-($AB$1-(F92-E92)+($Z$4-D92)),IF(I92&gt;$Z$8,($AB$1-(F92-E92))+(I92-$Z$8),IF(AND(N92="Sex",(F92-E92)&lt;($AB$1-$W$1)),($AB$1-(F92-E92)),IF(AND(O92&gt;($AB$1-$W$1),D92&gt;$Z$4),"",IF(AND(B92&gt;=$T$1,(F92-E92)&gt;($AB$1-$W$1)),"",IF(AND(D92&gt;=$Y$4,I92=$Z$8,S92=""),($AB$1-(F92-E92)),IF(AND(P92&lt;&gt;"",S92&lt;&gt;""),I92-$Z$8,IF(AND(P92&lt;&gt;"",D92&gt;$Y$4),$AB$1-(F92-E92),"")))))))))))))))))</f>
        <v/>
      </c>
      <c r="M92" s="107" t="str">
        <f>IFERROR(IF(H92="","",IF(B92=VLOOKUP(B92,Feriados[],2,0),(H92-D92)-(G92-E92),"")),"")</f>
        <v/>
      </c>
      <c r="N92" s="38" t="str">
        <f t="shared" si="8"/>
        <v>Qui</v>
      </c>
      <c r="O92" s="112">
        <f t="shared" si="9"/>
        <v>4.166666666666663E-2</v>
      </c>
      <c r="P92" s="113" t="str">
        <f>IF(B92=_xlfn.XLOOKUP(B92,Feriados[FE Oficial],Feriados[FE Talvez],"",0),"",IF(B92&lt;$T$1,"",IF(Q92="Consulta","",IF(Q92="Compensado","",IF(N92="Sáb","",IF(S92&lt;&gt;"",(S92-R92)-(($AB$1-O92)-(D92-$Z$4)),IF(O92&gt;$AB$1,O92-$AB$1,IF(C92&gt;$Z$4,C92-$Z$4,IF(AND(N92="Sex",G92&lt;&gt;"",H92=""),$Z$3-G92,IF(AND(G92&lt;&gt;"",H92=""),$Z$3-G92,IF(AND(N92="Sex",H92&lt;$Y$3),$Z$3-H92,IF(AND(N92&lt;&gt;"Sex",H92&gt;$AA$8),"",IF(AND(N92="Sex",H92&gt;$Z$8),"",IF(AND(N92&lt;&gt;"Sex",I92&gt;$Z$8),$Z$8-H92,IF(AND(N92&lt;&gt;"Sex",H92&lt;$Y$8),$Z$8-H92,"")))))))))))))))</f>
        <v/>
      </c>
      <c r="Q92" s="33"/>
      <c r="R92" s="33"/>
      <c r="S92" s="33"/>
    </row>
    <row r="93" spans="1:19" x14ac:dyDescent="0.25">
      <c r="A93" s="116" t="s">
        <v>191</v>
      </c>
      <c r="B93" s="32">
        <v>43826</v>
      </c>
      <c r="C93" s="39">
        <f t="shared" si="5"/>
        <v>0.33333333333333331</v>
      </c>
      <c r="D93" s="33">
        <v>0.33124999999999999</v>
      </c>
      <c r="E93" s="33">
        <v>0.5</v>
      </c>
      <c r="F93" s="39">
        <f t="shared" si="6"/>
        <v>0.54166666666666663</v>
      </c>
      <c r="G93" s="33">
        <v>0.54166666666666663</v>
      </c>
      <c r="H93" s="33">
        <v>0.75</v>
      </c>
      <c r="I93" s="39">
        <f>IFERROR(IF(B93=VLOOKUP(B93,Feriados[],2,0),H93,IF(N93="Sáb",H93,IF(AND(B93&lt;$T$1,H93&lt;=$AA$3),$Z$3,IF(AND(N93="Sex",H93&gt;$AA$3),H93,IF(H93&lt;=$AA$3,$Z$3,IF(H93&lt;=$AA$8,$Z$8,H93)))))),IF(N93="Sáb",H93,IF(AND(B93&lt;$T$1,H93&lt;=$AA$3),$Z$3,IF(AND(N93="Sex",H93&gt;$AA$3),H93,IF(H93&lt;=$AA$3,$Z$3,IF(H93&lt;=$AA$8,$Z$8,H93))))))</f>
        <v>0.75</v>
      </c>
      <c r="J93" s="33">
        <f t="shared" si="7"/>
        <v>0.375</v>
      </c>
      <c r="K93" s="33">
        <f>IFERROR(IF(H93="","",IF(B93=VLOOKUP(B93,Feriados[],2,0),(H93-D93)-(G93-E93),IF(D93&lt;=$Y$4,(I93-D93)-(G93-E93),(I93-C93)-(F93-E93)))),IF(AND(D93&lt;=$Y$4,F93-E93=$AB$1),(I93-D93)-(F93-E93),IF(D93&lt;$Y$4,(I93-D93)-(G93-E93),(I93-C93)-(F93-E93))))</f>
        <v>0.37500000000000006</v>
      </c>
      <c r="L93" s="40" t="str">
        <f>IF(B93=_xlfn.XLOOKUP(B93,Feriados[FE Oficial],Feriados[FE Talvez],"",0),"",IF(Q93="Compensado","",IF(AND(N93="Sex",D93&lt;$Y$4),($Z$4-D93)+$AB$1-(F93-E93)+(I93-$Z$3),IF(AND(N93="Sex",I93&gt;$Z$3),($AB$1-(F93-E93))+(I93-$Z$3),IF(AND(N93="Sex",E93&lt;&gt;"",D93&lt;$Y$4),($Z$4-D93)+$AB$1-(F93-E93)+(I93-$Z$3),IF(N93="Sáb",(I93-D93)-(G93-E93)-(S93-R93),IF(AND(B93&lt;$T$1,I93&gt;$Z$3),H93-$Z$3,IF(D93&lt;$Y$4,($Z$4-D93)+($AB$1-(F93-E93))+(I93-$Z$8)+(S93-R93),IF(AND(S93&lt;&gt;"",D93&gt;$Z$4),(S93-R93)-($AB$1-(F93-E93)),IF(AND(S93&lt;&gt;"",D93&lt;$Y$4),(S93-R93)-($AB$1-(F93-E93)+($Z$4-D93)),IF(I93&gt;$Z$8,($AB$1-(F93-E93))+(I93-$Z$8),IF(AND(N93="Sex",(F93-E93)&lt;($AB$1-$W$1)),($AB$1-(F93-E93)),IF(AND(O93&gt;($AB$1-$W$1),D93&gt;$Z$4),"",IF(AND(B93&gt;=$T$1,(F93-E93)&gt;($AB$1-$W$1)),"",IF(AND(D93&gt;=$Y$4,I93=$Z$8,S93=""),($AB$1-(F93-E93)),IF(AND(P93&lt;&gt;"",S93&lt;&gt;""),I93-$Z$8,IF(AND(P93&lt;&gt;"",D93&gt;$Y$4),$AB$1-(F93-E93),"")))))))))))))))))</f>
        <v/>
      </c>
      <c r="M93" s="107" t="str">
        <f>IFERROR(IF(H93="","",IF(B93=VLOOKUP(B93,Feriados[],2,0),(H93-D93)-(G93-E93),"")),"")</f>
        <v/>
      </c>
      <c r="N93" s="38" t="str">
        <f t="shared" si="8"/>
        <v>Qui</v>
      </c>
      <c r="O93" s="112">
        <f t="shared" si="9"/>
        <v>4.166666666666663E-2</v>
      </c>
      <c r="P93" s="113" t="str">
        <f>IF(B93=_xlfn.XLOOKUP(B93,Feriados[FE Oficial],Feriados[FE Talvez],"",0),"",IF(B93&lt;$T$1,"",IF(Q93="Consulta","",IF(Q93="Compensado","",IF(N93="Sáb","",IF(S93&lt;&gt;"",(S93-R93)-(($AB$1-O93)-(D93-$Z$4)),IF(O93&gt;$AB$1,O93-$AB$1,IF(C93&gt;$Z$4,C93-$Z$4,IF(AND(N93="Sex",G93&lt;&gt;"",H93=""),$Z$3-G93,IF(AND(G93&lt;&gt;"",H93=""),$Z$3-G93,IF(AND(N93="Sex",H93&lt;$Y$3),$Z$3-H93,IF(AND(N93&lt;&gt;"Sex",H93&gt;$AA$8),"",IF(AND(N93="Sex",H93&gt;$Z$8),"",IF(AND(N93&lt;&gt;"Sex",I93&gt;$Z$8),$Z$8-H93,IF(AND(N93&lt;&gt;"Sex",H93&lt;$Y$8),$Z$8-H93,"")))))))))))))))</f>
        <v/>
      </c>
      <c r="Q93" s="33"/>
      <c r="R93" s="33"/>
      <c r="S93" s="33"/>
    </row>
    <row r="94" spans="1:19" x14ac:dyDescent="0.25">
      <c r="A94" s="116" t="s">
        <v>194</v>
      </c>
      <c r="B94" s="32">
        <v>43826</v>
      </c>
      <c r="C94" s="39">
        <f t="shared" si="5"/>
        <v>0.33333333333333331</v>
      </c>
      <c r="D94" s="33">
        <v>0.29166666666666669</v>
      </c>
      <c r="E94" s="33">
        <v>0.5</v>
      </c>
      <c r="F94" s="39">
        <f t="shared" si="6"/>
        <v>0.54166666666666663</v>
      </c>
      <c r="G94" s="33">
        <v>0.54166666666666663</v>
      </c>
      <c r="H94" s="33">
        <v>0.75</v>
      </c>
      <c r="I94" s="39">
        <f>IFERROR(IF(B94=VLOOKUP(B94,Feriados[],2,0),H94,IF(N94="Sáb",H94,IF(AND(B94&lt;$T$1,H94&lt;=$AA$3),$Z$3,IF(AND(N94="Sex",H94&gt;$AA$3),H94,IF(H94&lt;=$AA$3,$Z$3,IF(H94&lt;=$AA$8,$Z$8,H94)))))),IF(N94="Sáb",H94,IF(AND(B94&lt;$T$1,H94&lt;=$AA$3),$Z$3,IF(AND(N94="Sex",H94&gt;$AA$3),H94,IF(H94&lt;=$AA$3,$Z$3,IF(H94&lt;=$AA$8,$Z$8,H94))))))</f>
        <v>0.75</v>
      </c>
      <c r="J94" s="33">
        <f t="shared" si="7"/>
        <v>0.375</v>
      </c>
      <c r="K94" s="33">
        <f>IFERROR(IF(H94="","",IF(B94=VLOOKUP(B94,Feriados[],2,0),(H94-D94)-(G94-E94),IF(D94&lt;=$Y$4,(I94-D94)-(G94-E94),(I94-C94)-(F94-E94)))),IF(AND(D94&lt;=$Y$4,F94-E94=$AB$1),(I94-D94)-(F94-E94),IF(D94&lt;$Y$4,(I94-D94)-(G94-E94),(I94-C94)-(F94-E94))))</f>
        <v>0.41666666666666669</v>
      </c>
      <c r="L94" s="40">
        <f>IF(B94=_xlfn.XLOOKUP(B94,Feriados[FE Oficial],Feriados[FE Talvez],"",0),"",IF(Q94="Compensado","",IF(AND(N94="Sex",D94&lt;$Y$4),($Z$4-D94)+$AB$1-(F94-E94)+(I94-$Z$3),IF(AND(N94="Sex",I94&gt;$Z$3),($AB$1-(F94-E94))+(I94-$Z$3),IF(AND(N94="Sex",E94&lt;&gt;"",D94&lt;$Y$4),($Z$4-D94)+$AB$1-(F94-E94)+(I94-$Z$3),IF(N94="Sáb",(I94-D94)-(G94-E94)-(S94-R94),IF(AND(B94&lt;$T$1,I94&gt;$Z$3),H94-$Z$3,IF(D94&lt;$Y$4,($Z$4-D94)+($AB$1-(F94-E94))+(I94-$Z$8)+(S94-R94),IF(AND(S94&lt;&gt;"",D94&gt;$Z$4),(S94-R94)-($AB$1-(F94-E94)),IF(AND(S94&lt;&gt;"",D94&lt;$Y$4),(S94-R94)-($AB$1-(F94-E94)+($Z$4-D94)),IF(I94&gt;$Z$8,($AB$1-(F94-E94))+(I94-$Z$8),IF(AND(N94="Sex",(F94-E94)&lt;($AB$1-$W$1)),($AB$1-(F94-E94)),IF(AND(O94&gt;($AB$1-$W$1),D94&gt;$Z$4),"",IF(AND(B94&gt;=$T$1,(F94-E94)&gt;($AB$1-$W$1)),"",IF(AND(D94&gt;=$Y$4,I94=$Z$8,S94=""),($AB$1-(F94-E94)),IF(AND(P94&lt;&gt;"",S94&lt;&gt;""),I94-$Z$8,IF(AND(P94&lt;&gt;"",D94&gt;$Y$4),$AB$1-(F94-E94),"")))))))))))))))))</f>
        <v>4.1666666666666664E-2</v>
      </c>
      <c r="M94" s="107" t="str">
        <f>IFERROR(IF(H94="","",IF(B94=VLOOKUP(B94,Feriados[],2,0),(H94-D94)-(G94-E94),"")),"")</f>
        <v/>
      </c>
      <c r="N94" s="38" t="str">
        <f t="shared" si="8"/>
        <v>Qui</v>
      </c>
      <c r="O94" s="112">
        <f t="shared" si="9"/>
        <v>4.166666666666663E-2</v>
      </c>
      <c r="P94" s="113" t="str">
        <f>IF(B94=_xlfn.XLOOKUP(B94,Feriados[FE Oficial],Feriados[FE Talvez],"",0),"",IF(B94&lt;$T$1,"",IF(Q94="Consulta","",IF(Q94="Compensado","",IF(N94="Sáb","",IF(S94&lt;&gt;"",(S94-R94)-(($AB$1-O94)-(D94-$Z$4)),IF(O94&gt;$AB$1,O94-$AB$1,IF(C94&gt;$Z$4,C94-$Z$4,IF(AND(N94="Sex",G94&lt;&gt;"",H94=""),$Z$3-G94,IF(AND(G94&lt;&gt;"",H94=""),$Z$3-G94,IF(AND(N94="Sex",H94&lt;$Y$3),$Z$3-H94,IF(AND(N94&lt;&gt;"Sex",H94&gt;$AA$8),"",IF(AND(N94="Sex",H94&gt;$Z$8),"",IF(AND(N94&lt;&gt;"Sex",I94&gt;$Z$8),$Z$8-H94,IF(AND(N94&lt;&gt;"Sex",H94&lt;$Y$8),$Z$8-H94,"")))))))))))))))</f>
        <v/>
      </c>
      <c r="Q94" s="33"/>
      <c r="R94" s="33"/>
      <c r="S94" s="33"/>
    </row>
    <row r="95" spans="1:19" x14ac:dyDescent="0.25">
      <c r="A95" s="116" t="s">
        <v>190</v>
      </c>
      <c r="B95" s="32">
        <v>43827</v>
      </c>
      <c r="C95" s="39">
        <f t="shared" si="5"/>
        <v>0.33333333333333331</v>
      </c>
      <c r="D95" s="33">
        <v>0.32083333333333336</v>
      </c>
      <c r="E95" s="33">
        <v>0.49305555555555558</v>
      </c>
      <c r="F95" s="39">
        <f t="shared" si="6"/>
        <v>0.51944444444444449</v>
      </c>
      <c r="G95" s="33">
        <v>0.51944444444444449</v>
      </c>
      <c r="H95" s="33">
        <v>0.70833333333333337</v>
      </c>
      <c r="I95" s="39">
        <f>IFERROR(IF(B95=VLOOKUP(B95,Feriados[],2,0),H95,IF(N95="Sáb",H95,IF(AND(B95&lt;$T$1,H95&lt;=$AA$3),$Z$3,IF(AND(N95="Sex",H95&gt;$AA$3),H95,IF(H95&lt;=$AA$3,$Z$3,IF(H95&lt;=$AA$8,$Z$8,H95)))))),IF(N95="Sáb",H95,IF(AND(B95&lt;$T$1,H95&lt;=$AA$3),$Z$3,IF(AND(N95="Sex",H95&gt;$AA$3),H95,IF(H95&lt;=$AA$3,$Z$3,IF(H95&lt;=$AA$8,$Z$8,H95))))))</f>
        <v>0.70833333333333337</v>
      </c>
      <c r="J95" s="33">
        <f t="shared" si="7"/>
        <v>0.33333333333333331</v>
      </c>
      <c r="K95" s="33">
        <f>IFERROR(IF(H95="","",IF(B95=VLOOKUP(B95,Feriados[],2,0),(H95-D95)-(G95-E95),IF(D95&lt;=$Y$4,(I95-D95)-(G95-E95),(I95-C95)-(F95-E95)))),IF(AND(D95&lt;=$Y$4,F95-E95=$AB$1),(I95-D95)-(F95-E95),IF(D95&lt;$Y$4,(I95-D95)-(G95-E95),(I95-C95)-(F95-E95))))</f>
        <v>0.3611111111111111</v>
      </c>
      <c r="L95" s="40">
        <f>IF(B95=_xlfn.XLOOKUP(B95,Feriados[FE Oficial],Feriados[FE Talvez],"",0),"",IF(Q95="Compensado","",IF(AND(N95="Sex",D95&lt;$Y$4),($Z$4-D95)+$AB$1-(F95-E95)+(I95-$Z$3),IF(AND(N95="Sex",I95&gt;$Z$3),($AB$1-(F95-E95))+(I95-$Z$3),IF(AND(N95="Sex",E95&lt;&gt;"",D95&lt;$Y$4),($Z$4-D95)+$AB$1-(F95-E95)+(I95-$Z$3),IF(N95="Sáb",(I95-D95)-(G95-E95)-(S95-R95),IF(AND(B95&lt;$T$1,I95&gt;$Z$3),H95-$Z$3,IF(D95&lt;$Y$4,($Z$4-D95)+($AB$1-(F95-E95))+(I95-$Z$8)+(S95-R95),IF(AND(S95&lt;&gt;"",D95&gt;$Z$4),(S95-R95)-($AB$1-(F95-E95)),IF(AND(S95&lt;&gt;"",D95&lt;$Y$4),(S95-R95)-($AB$1-(F95-E95)+($Z$4-D95)),IF(I95&gt;$Z$8,($AB$1-(F95-E95))+(I95-$Z$8),IF(AND(N95="Sex",(F95-E95)&lt;($AB$1-$W$1)),($AB$1-(F95-E95)),IF(AND(O95&gt;($AB$1-$W$1),D95&gt;$Z$4),"",IF(AND(B95&gt;=$T$1,(F95-E95)&gt;($AB$1-$W$1)),"",IF(AND(D95&gt;=$Y$4,I95=$Z$8,S95=""),($AB$1-(F95-E95)),IF(AND(P95&lt;&gt;"",S95&lt;&gt;""),I95-$Z$8,IF(AND(P95&lt;&gt;"",D95&gt;$Y$4),$AB$1-(F95-E95),"")))))))))))))))))</f>
        <v>2.7777777777777714E-2</v>
      </c>
      <c r="M95" s="107" t="str">
        <f>IFERROR(IF(H95="","",IF(B95=VLOOKUP(B95,Feriados[],2,0),(H95-D95)-(G95-E95),"")),"")</f>
        <v/>
      </c>
      <c r="N95" s="38" t="str">
        <f t="shared" si="8"/>
        <v>Sex</v>
      </c>
      <c r="O95" s="112">
        <f t="shared" si="9"/>
        <v>2.6388888888888906E-2</v>
      </c>
      <c r="P95" s="113" t="str">
        <f>IF(B95=_xlfn.XLOOKUP(B95,Feriados[FE Oficial],Feriados[FE Talvez],"",0),"",IF(B95&lt;$T$1,"",IF(Q95="Consulta","",IF(Q95="Compensado","",IF(N95="Sáb","",IF(S95&lt;&gt;"",(S95-R95)-(($AB$1-O95)-(D95-$Z$4)),IF(O95&gt;$AB$1,O95-$AB$1,IF(C95&gt;$Z$4,C95-$Z$4,IF(AND(N95="Sex",G95&lt;&gt;"",H95=""),$Z$3-G95,IF(AND(G95&lt;&gt;"",H95=""),$Z$3-G95,IF(AND(N95="Sex",H95&lt;$Y$3),$Z$3-H95,IF(AND(N95&lt;&gt;"Sex",H95&gt;$AA$8),"",IF(AND(N95="Sex",H95&gt;$Z$8),"",IF(AND(N95&lt;&gt;"Sex",I95&gt;$Z$8),$Z$8-H95,IF(AND(N95&lt;&gt;"Sex",H95&lt;$Y$8),$Z$8-H95,"")))))))))))))))</f>
        <v/>
      </c>
      <c r="Q95" s="33"/>
      <c r="R95" s="33"/>
      <c r="S95" s="33"/>
    </row>
    <row r="96" spans="1:19" x14ac:dyDescent="0.25">
      <c r="A96" s="116" t="s">
        <v>194</v>
      </c>
      <c r="B96" s="32">
        <v>43827</v>
      </c>
      <c r="C96" s="39">
        <f t="shared" si="5"/>
        <v>0.33333333333333331</v>
      </c>
      <c r="D96" s="33">
        <v>0.29166666666666669</v>
      </c>
      <c r="E96" s="33">
        <v>0.5</v>
      </c>
      <c r="F96" s="39">
        <f t="shared" si="6"/>
        <v>0.54166666666666663</v>
      </c>
      <c r="G96" s="33">
        <v>0.54166666666666663</v>
      </c>
      <c r="H96" s="33">
        <v>0.70833333333333337</v>
      </c>
      <c r="I96" s="39">
        <f>IFERROR(IF(B96=VLOOKUP(B96,Feriados[],2,0),H96,IF(N96="Sáb",H96,IF(AND(B96&lt;$T$1,H96&lt;=$AA$3),$Z$3,IF(AND(N96="Sex",H96&gt;$AA$3),H96,IF(H96&lt;=$AA$3,$Z$3,IF(H96&lt;=$AA$8,$Z$8,H96)))))),IF(N96="Sáb",H96,IF(AND(B96&lt;$T$1,H96&lt;=$AA$3),$Z$3,IF(AND(N96="Sex",H96&gt;$AA$3),H96,IF(H96&lt;=$AA$3,$Z$3,IF(H96&lt;=$AA$8,$Z$8,H96))))))</f>
        <v>0.70833333333333337</v>
      </c>
      <c r="J96" s="33">
        <f t="shared" si="7"/>
        <v>0.33333333333333331</v>
      </c>
      <c r="K96" s="33">
        <f>IFERROR(IF(H96="","",IF(B96=VLOOKUP(B96,Feriados[],2,0),(H96-D96)-(G96-E96),IF(D96&lt;=$Y$4,(I96-D96)-(G96-E96),(I96-C96)-(F96-E96)))),IF(AND(D96&lt;=$Y$4,F96-E96=$AB$1),(I96-D96)-(F96-E96),IF(D96&lt;$Y$4,(I96-D96)-(G96-E96),(I96-C96)-(F96-E96))))</f>
        <v>0.37500000000000006</v>
      </c>
      <c r="L96" s="40">
        <f>IF(B96=_xlfn.XLOOKUP(B96,Feriados[FE Oficial],Feriados[FE Talvez],"",0),"",IF(Q96="Compensado","",IF(AND(N96="Sex",D96&lt;$Y$4),($Z$4-D96)+$AB$1-(F96-E96)+(I96-$Z$3),IF(AND(N96="Sex",I96&gt;$Z$3),($AB$1-(F96-E96))+(I96-$Z$3),IF(AND(N96="Sex",E96&lt;&gt;"",D96&lt;$Y$4),($Z$4-D96)+$AB$1-(F96-E96)+(I96-$Z$3),IF(N96="Sáb",(I96-D96)-(G96-E96)-(S96-R96),IF(AND(B96&lt;$T$1,I96&gt;$Z$3),H96-$Z$3,IF(D96&lt;$Y$4,($Z$4-D96)+($AB$1-(F96-E96))+(I96-$Z$8)+(S96-R96),IF(AND(S96&lt;&gt;"",D96&gt;$Z$4),(S96-R96)-($AB$1-(F96-E96)),IF(AND(S96&lt;&gt;"",D96&lt;$Y$4),(S96-R96)-($AB$1-(F96-E96)+($Z$4-D96)),IF(I96&gt;$Z$8,($AB$1-(F96-E96))+(I96-$Z$8),IF(AND(N96="Sex",(F96-E96)&lt;($AB$1-$W$1)),($AB$1-(F96-E96)),IF(AND(O96&gt;($AB$1-$W$1),D96&gt;$Z$4),"",IF(AND(B96&gt;=$T$1,(F96-E96)&gt;($AB$1-$W$1)),"",IF(AND(D96&gt;=$Y$4,I96=$Z$8,S96=""),($AB$1-(F96-E96)),IF(AND(P96&lt;&gt;"",S96&lt;&gt;""),I96-$Z$8,IF(AND(P96&lt;&gt;"",D96&gt;$Y$4),$AB$1-(F96-E96),"")))))))))))))))))</f>
        <v>4.1666666666666657E-2</v>
      </c>
      <c r="M96" s="107" t="str">
        <f>IFERROR(IF(H96="","",IF(B96=VLOOKUP(B96,Feriados[],2,0),(H96-D96)-(G96-E96),"")),"")</f>
        <v/>
      </c>
      <c r="N96" s="38" t="str">
        <f t="shared" si="8"/>
        <v>Sex</v>
      </c>
      <c r="O96" s="112">
        <f t="shared" si="9"/>
        <v>4.166666666666663E-2</v>
      </c>
      <c r="P96" s="113" t="str">
        <f>IF(B96=_xlfn.XLOOKUP(B96,Feriados[FE Oficial],Feriados[FE Talvez],"",0),"",IF(B96&lt;$T$1,"",IF(Q96="Consulta","",IF(Q96="Compensado","",IF(N96="Sáb","",IF(S96&lt;&gt;"",(S96-R96)-(($AB$1-O96)-(D96-$Z$4)),IF(O96&gt;$AB$1,O96-$AB$1,IF(C96&gt;$Z$4,C96-$Z$4,IF(AND(N96="Sex",G96&lt;&gt;"",H96=""),$Z$3-G96,IF(AND(G96&lt;&gt;"",H96=""),$Z$3-G96,IF(AND(N96="Sex",H96&lt;$Y$3),$Z$3-H96,IF(AND(N96&lt;&gt;"Sex",H96&gt;$AA$8),"",IF(AND(N96="Sex",H96&gt;$Z$8),"",IF(AND(N96&lt;&gt;"Sex",I96&gt;$Z$8),$Z$8-H96,IF(AND(N96&lt;&gt;"Sex",H96&lt;$Y$8),$Z$8-H96,"")))))))))))))))</f>
        <v/>
      </c>
      <c r="Q96" s="33"/>
      <c r="R96" s="33"/>
      <c r="S96" s="33"/>
    </row>
    <row r="97" spans="1:19" x14ac:dyDescent="0.25">
      <c r="A97" s="116" t="s">
        <v>197</v>
      </c>
      <c r="B97" s="32">
        <v>43827</v>
      </c>
      <c r="C97" s="39">
        <f t="shared" si="5"/>
        <v>0.33333333333333331</v>
      </c>
      <c r="D97" s="33">
        <v>0.33194444444444443</v>
      </c>
      <c r="E97" s="33">
        <v>0.5</v>
      </c>
      <c r="F97" s="39">
        <f t="shared" si="6"/>
        <v>0.54166666666666663</v>
      </c>
      <c r="G97" s="33">
        <v>0.54166666666666663</v>
      </c>
      <c r="H97" s="33">
        <v>0.70833333333333337</v>
      </c>
      <c r="I97" s="39">
        <f>IFERROR(IF(B97=VLOOKUP(B97,Feriados[],2,0),H97,IF(N97="Sáb",H97,IF(AND(B97&lt;$T$1,H97&lt;=$AA$3),$Z$3,IF(AND(N97="Sex",H97&gt;$AA$3),H97,IF(H97&lt;=$AA$3,$Z$3,IF(H97&lt;=$AA$8,$Z$8,H97)))))),IF(N97="Sáb",H97,IF(AND(B97&lt;$T$1,H97&lt;=$AA$3),$Z$3,IF(AND(N97="Sex",H97&gt;$AA$3),H97,IF(H97&lt;=$AA$3,$Z$3,IF(H97&lt;=$AA$8,$Z$8,H97))))))</f>
        <v>0.70833333333333337</v>
      </c>
      <c r="J97" s="33">
        <f t="shared" si="7"/>
        <v>0.33333333333333331</v>
      </c>
      <c r="K97" s="33">
        <f>IFERROR(IF(H97="","",IF(B97=VLOOKUP(B97,Feriados[],2,0),(H97-D97)-(G97-E97),IF(D97&lt;=$Y$4,(I97-D97)-(G97-E97),(I97-C97)-(F97-E97)))),IF(AND(D97&lt;=$Y$4,F97-E97=$AB$1),(I97-D97)-(F97-E97),IF(D97&lt;$Y$4,(I97-D97)-(G97-E97),(I97-C97)-(F97-E97))))</f>
        <v>0.33333333333333343</v>
      </c>
      <c r="L97" s="40" t="str">
        <f>IF(B97=_xlfn.XLOOKUP(B97,Feriados[FE Oficial],Feriados[FE Talvez],"",0),"",IF(Q97="Compensado","",IF(AND(N97="Sex",D97&lt;$Y$4),($Z$4-D97)+$AB$1-(F97-E97)+(I97-$Z$3),IF(AND(N97="Sex",I97&gt;$Z$3),($AB$1-(F97-E97))+(I97-$Z$3),IF(AND(N97="Sex",E97&lt;&gt;"",D97&lt;$Y$4),($Z$4-D97)+$AB$1-(F97-E97)+(I97-$Z$3),IF(N97="Sáb",(I97-D97)-(G97-E97)-(S97-R97),IF(AND(B97&lt;$T$1,I97&gt;$Z$3),H97-$Z$3,IF(D97&lt;$Y$4,($Z$4-D97)+($AB$1-(F97-E97))+(I97-$Z$8)+(S97-R97),IF(AND(S97&lt;&gt;"",D97&gt;$Z$4),(S97-R97)-($AB$1-(F97-E97)),IF(AND(S97&lt;&gt;"",D97&lt;$Y$4),(S97-R97)-($AB$1-(F97-E97)+($Z$4-D97)),IF(I97&gt;$Z$8,($AB$1-(F97-E97))+(I97-$Z$8),IF(AND(N97="Sex",(F97-E97)&lt;($AB$1-$W$1)),($AB$1-(F97-E97)),IF(AND(O97&gt;($AB$1-$W$1),D97&gt;$Z$4),"",IF(AND(B97&gt;=$T$1,(F97-E97)&gt;($AB$1-$W$1)),"",IF(AND(D97&gt;=$Y$4,I97=$Z$8,S97=""),($AB$1-(F97-E97)),IF(AND(P97&lt;&gt;"",S97&lt;&gt;""),I97-$Z$8,IF(AND(P97&lt;&gt;"",D97&gt;$Y$4),$AB$1-(F97-E97),"")))))))))))))))))</f>
        <v/>
      </c>
      <c r="M97" s="107" t="str">
        <f>IFERROR(IF(H97="","",IF(B97=VLOOKUP(B97,Feriados[],2,0),(H97-D97)-(G97-E97),"")),"")</f>
        <v/>
      </c>
      <c r="N97" s="38" t="str">
        <f t="shared" si="8"/>
        <v>Sex</v>
      </c>
      <c r="O97" s="112">
        <f t="shared" si="9"/>
        <v>4.166666666666663E-2</v>
      </c>
      <c r="P97" s="113" t="str">
        <f>IF(B97=_xlfn.XLOOKUP(B97,Feriados[FE Oficial],Feriados[FE Talvez],"",0),"",IF(B97&lt;$T$1,"",IF(Q97="Consulta","",IF(Q97="Compensado","",IF(N97="Sáb","",IF(S97&lt;&gt;"",(S97-R97)-(($AB$1-O97)-(D97-$Z$4)),IF(O97&gt;$AB$1,O97-$AB$1,IF(C97&gt;$Z$4,C97-$Z$4,IF(AND(N97="Sex",G97&lt;&gt;"",H97=""),$Z$3-G97,IF(AND(G97&lt;&gt;"",H97=""),$Z$3-G97,IF(AND(N97="Sex",H97&lt;$Y$3),$Z$3-H97,IF(AND(N97&lt;&gt;"Sex",H97&gt;$AA$8),"",IF(AND(N97="Sex",H97&gt;$Z$8),"",IF(AND(N97&lt;&gt;"Sex",I97&gt;$Z$8),$Z$8-H97,IF(AND(N97&lt;&gt;"Sex",H97&lt;$Y$8),$Z$8-H97,"")))))))))))))))</f>
        <v/>
      </c>
      <c r="Q97" s="33"/>
      <c r="R97" s="33"/>
      <c r="S97" s="33"/>
    </row>
    <row r="98" spans="1:19" x14ac:dyDescent="0.25">
      <c r="A98" s="116" t="s">
        <v>182</v>
      </c>
      <c r="B98" s="32">
        <v>43827</v>
      </c>
      <c r="C98" s="39">
        <f t="shared" si="5"/>
        <v>0.33333333333333331</v>
      </c>
      <c r="D98" s="33">
        <v>0.33888888888888885</v>
      </c>
      <c r="E98" s="33">
        <v>0.5</v>
      </c>
      <c r="F98" s="39">
        <f t="shared" si="6"/>
        <v>0.54166666666666663</v>
      </c>
      <c r="G98" s="33">
        <v>0.54166666666666663</v>
      </c>
      <c r="H98" s="33">
        <v>0.70833333333333337</v>
      </c>
      <c r="I98" s="39">
        <f>IFERROR(IF(B98=VLOOKUP(B98,Feriados[],2,0),H98,IF(N98="Sáb",H98,IF(AND(B98&lt;$T$1,H98&lt;=$AA$3),$Z$3,IF(AND(N98="Sex",H98&gt;$AA$3),H98,IF(H98&lt;=$AA$3,$Z$3,IF(H98&lt;=$AA$8,$Z$8,H98)))))),IF(N98="Sáb",H98,IF(AND(B98&lt;$T$1,H98&lt;=$AA$3),$Z$3,IF(AND(N98="Sex",H98&gt;$AA$3),H98,IF(H98&lt;=$AA$3,$Z$3,IF(H98&lt;=$AA$8,$Z$8,H98))))))</f>
        <v>0.70833333333333337</v>
      </c>
      <c r="J98" s="33">
        <f t="shared" si="7"/>
        <v>0.32777777777777789</v>
      </c>
      <c r="K98" s="33">
        <f>IFERROR(IF(H98="","",IF(B98=VLOOKUP(B98,Feriados[],2,0),(H98-D98)-(G98-E98),IF(D98&lt;=$Y$4,(I98-D98)-(G98-E98),(I98-C98)-(F98-E98)))),IF(AND(D98&lt;=$Y$4,F98-E98=$AB$1),(I98-D98)-(F98-E98),IF(D98&lt;$Y$4,(I98-D98)-(G98-E98),(I98-C98)-(F98-E98))))</f>
        <v>0.33333333333333343</v>
      </c>
      <c r="L98" s="40" t="str">
        <f>IF(B98=_xlfn.XLOOKUP(B98,Feriados[FE Oficial],Feriados[FE Talvez],"",0),"",IF(Q98="Compensado","",IF(AND(N98="Sex",D98&lt;$Y$4),($Z$4-D98)+$AB$1-(F98-E98)+(I98-$Z$3),IF(AND(N98="Sex",I98&gt;$Z$3),($AB$1-(F98-E98))+(I98-$Z$3),IF(AND(N98="Sex",E98&lt;&gt;"",D98&lt;$Y$4),($Z$4-D98)+$AB$1-(F98-E98)+(I98-$Z$3),IF(N98="Sáb",(I98-D98)-(G98-E98)-(S98-R98),IF(AND(B98&lt;$T$1,I98&gt;$Z$3),H98-$Z$3,IF(D98&lt;$Y$4,($Z$4-D98)+($AB$1-(F98-E98))+(I98-$Z$8)+(S98-R98),IF(AND(S98&lt;&gt;"",D98&gt;$Z$4),(S98-R98)-($AB$1-(F98-E98)),IF(AND(S98&lt;&gt;"",D98&lt;$Y$4),(S98-R98)-($AB$1-(F98-E98)+($Z$4-D98)),IF(I98&gt;$Z$8,($AB$1-(F98-E98))+(I98-$Z$8),IF(AND(N98="Sex",(F98-E98)&lt;($AB$1-$W$1)),($AB$1-(F98-E98)),IF(AND(O98&gt;($AB$1-$W$1),D98&gt;$Z$4),"",IF(AND(B98&gt;=$T$1,(F98-E98)&gt;($AB$1-$W$1)),"",IF(AND(D98&gt;=$Y$4,I98=$Z$8,S98=""),($AB$1-(F98-E98)),IF(AND(P98&lt;&gt;"",S98&lt;&gt;""),I98-$Z$8,IF(AND(P98&lt;&gt;"",D98&gt;$Y$4),$AB$1-(F98-E98),"")))))))))))))))))</f>
        <v/>
      </c>
      <c r="M98" s="107" t="str">
        <f>IFERROR(IF(H98="","",IF(B98=VLOOKUP(B98,Feriados[],2,0),(H98-D98)-(G98-E98),"")),"")</f>
        <v/>
      </c>
      <c r="N98" s="38" t="str">
        <f t="shared" si="8"/>
        <v>Sex</v>
      </c>
      <c r="O98" s="112">
        <f t="shared" si="9"/>
        <v>4.166666666666663E-2</v>
      </c>
      <c r="P98" s="113" t="str">
        <f>IF(B98=_xlfn.XLOOKUP(B98,Feriados[FE Oficial],Feriados[FE Talvez],"",0),"",IF(B98&lt;$T$1,"",IF(Q98="Consulta","",IF(Q98="Compensado","",IF(N98="Sáb","",IF(S98&lt;&gt;"",(S98-R98)-(($AB$1-O98)-(D98-$Z$4)),IF(O98&gt;$AB$1,O98-$AB$1,IF(C98&gt;$Z$4,C98-$Z$4,IF(AND(N98="Sex",G98&lt;&gt;"",H98=""),$Z$3-G98,IF(AND(G98&lt;&gt;"",H98=""),$Z$3-G98,IF(AND(N98="Sex",H98&lt;$Y$3),$Z$3-H98,IF(AND(N98&lt;&gt;"Sex",H98&gt;$AA$8),"",IF(AND(N98="Sex",H98&gt;$Z$8),"",IF(AND(N98&lt;&gt;"Sex",I98&gt;$Z$8),$Z$8-H98,IF(AND(N98&lt;&gt;"Sex",H98&lt;$Y$8),$Z$8-H98,"")))))))))))))))</f>
        <v/>
      </c>
      <c r="Q98" s="33"/>
      <c r="R98" s="33"/>
      <c r="S98" s="33"/>
    </row>
    <row r="99" spans="1:19" x14ac:dyDescent="0.25">
      <c r="A99" s="116" t="s">
        <v>175</v>
      </c>
      <c r="B99" s="32">
        <v>43827</v>
      </c>
      <c r="C99" s="39">
        <f t="shared" si="5"/>
        <v>0.33333333333333331</v>
      </c>
      <c r="D99" s="33">
        <v>0.33333333333333331</v>
      </c>
      <c r="E99" s="33">
        <v>0.5</v>
      </c>
      <c r="F99" s="39">
        <f t="shared" si="6"/>
        <v>0.54166666666666663</v>
      </c>
      <c r="G99" s="33">
        <v>0.54166666666666663</v>
      </c>
      <c r="H99" s="33">
        <v>0.70833333333333337</v>
      </c>
      <c r="I99" s="39">
        <f>IFERROR(IF(B99=VLOOKUP(B99,Feriados[],2,0),H99,IF(N99="Sáb",H99,IF(AND(B99&lt;$T$1,H99&lt;=$AA$3),$Z$3,IF(AND(N99="Sex",H99&gt;$AA$3),H99,IF(H99&lt;=$AA$3,$Z$3,IF(H99&lt;=$AA$8,$Z$8,H99)))))),IF(N99="Sáb",H99,IF(AND(B99&lt;$T$1,H99&lt;=$AA$3),$Z$3,IF(AND(N99="Sex",H99&gt;$AA$3),H99,IF(H99&lt;=$AA$3,$Z$3,IF(H99&lt;=$AA$8,$Z$8,H99))))))</f>
        <v>0.70833333333333337</v>
      </c>
      <c r="J99" s="33">
        <f t="shared" si="7"/>
        <v>0.33333333333333343</v>
      </c>
      <c r="K99" s="33">
        <f>IFERROR(IF(H99="","",IF(B99=VLOOKUP(B99,Feriados[],2,0),(H99-D99)-(G99-E99),IF(D99&lt;=$Y$4,(I99-D99)-(G99-E99),(I99-C99)-(F99-E99)))),IF(AND(D99&lt;=$Y$4,F99-E99=$AB$1),(I99-D99)-(F99-E99),IF(D99&lt;$Y$4,(I99-D99)-(G99-E99),(I99-C99)-(F99-E99))))</f>
        <v>0.33333333333333343</v>
      </c>
      <c r="L99" s="40" t="str">
        <f>IF(B99=_xlfn.XLOOKUP(B99,Feriados[FE Oficial],Feriados[FE Talvez],"",0),"",IF(Q99="Compensado","",IF(AND(N99="Sex",D99&lt;$Y$4),($Z$4-D99)+$AB$1-(F99-E99)+(I99-$Z$3),IF(AND(N99="Sex",I99&gt;$Z$3),($AB$1-(F99-E99))+(I99-$Z$3),IF(AND(N99="Sex",E99&lt;&gt;"",D99&lt;$Y$4),($Z$4-D99)+$AB$1-(F99-E99)+(I99-$Z$3),IF(N99="Sáb",(I99-D99)-(G99-E99)-(S99-R99),IF(AND(B99&lt;$T$1,I99&gt;$Z$3),H99-$Z$3,IF(D99&lt;$Y$4,($Z$4-D99)+($AB$1-(F99-E99))+(I99-$Z$8)+(S99-R99),IF(AND(S99&lt;&gt;"",D99&gt;$Z$4),(S99-R99)-($AB$1-(F99-E99)),IF(AND(S99&lt;&gt;"",D99&lt;$Y$4),(S99-R99)-($AB$1-(F99-E99)+($Z$4-D99)),IF(I99&gt;$Z$8,($AB$1-(F99-E99))+(I99-$Z$8),IF(AND(N99="Sex",(F99-E99)&lt;($AB$1-$W$1)),($AB$1-(F99-E99)),IF(AND(O99&gt;($AB$1-$W$1),D99&gt;$Z$4),"",IF(AND(B99&gt;=$T$1,(F99-E99)&gt;($AB$1-$W$1)),"",IF(AND(D99&gt;=$Y$4,I99=$Z$8,S99=""),($AB$1-(F99-E99)),IF(AND(P99&lt;&gt;"",S99&lt;&gt;""),I99-$Z$8,IF(AND(P99&lt;&gt;"",D99&gt;$Y$4),$AB$1-(F99-E99),"")))))))))))))))))</f>
        <v/>
      </c>
      <c r="M99" s="107" t="str">
        <f>IFERROR(IF(H99="","",IF(B99=VLOOKUP(B99,Feriados[],2,0),(H99-D99)-(G99-E99),"")),"")</f>
        <v/>
      </c>
      <c r="N99" s="38" t="str">
        <f t="shared" si="8"/>
        <v>Sex</v>
      </c>
      <c r="O99" s="112">
        <f t="shared" si="9"/>
        <v>4.166666666666663E-2</v>
      </c>
      <c r="P99" s="113" t="str">
        <f>IF(B99=_xlfn.XLOOKUP(B99,Feriados[FE Oficial],Feriados[FE Talvez],"",0),"",IF(B99&lt;$T$1,"",IF(Q99="Consulta","",IF(Q99="Compensado","",IF(N99="Sáb","",IF(S99&lt;&gt;"",(S99-R99)-(($AB$1-O99)-(D99-$Z$4)),IF(O99&gt;$AB$1,O99-$AB$1,IF(C99&gt;$Z$4,C99-$Z$4,IF(AND(N99="Sex",G99&lt;&gt;"",H99=""),$Z$3-G99,IF(AND(G99&lt;&gt;"",H99=""),$Z$3-G99,IF(AND(N99="Sex",H99&lt;$Y$3),$Z$3-H99,IF(AND(N99&lt;&gt;"Sex",H99&gt;$AA$8),"",IF(AND(N99="Sex",H99&gt;$Z$8),"",IF(AND(N99&lt;&gt;"Sex",I99&gt;$Z$8),$Z$8-H99,IF(AND(N99&lt;&gt;"Sex",H99&lt;$Y$8),$Z$8-H99,"")))))))))))))))</f>
        <v/>
      </c>
      <c r="Q99" s="33"/>
      <c r="R99" s="33"/>
      <c r="S99" s="33"/>
    </row>
    <row r="100" spans="1:19" x14ac:dyDescent="0.25">
      <c r="A100" s="116" t="s">
        <v>191</v>
      </c>
      <c r="B100" s="32">
        <v>43831</v>
      </c>
      <c r="C100" s="39">
        <f t="shared" si="5"/>
        <v>0.33333333333333331</v>
      </c>
      <c r="D100" s="33">
        <v>0.33263888888888887</v>
      </c>
      <c r="E100" s="33">
        <v>0.5</v>
      </c>
      <c r="F100" s="39">
        <f t="shared" si="6"/>
        <v>0.54166666666666663</v>
      </c>
      <c r="G100" s="33">
        <v>0.54166666666666663</v>
      </c>
      <c r="H100" s="33">
        <v>0.75</v>
      </c>
      <c r="I100" s="39">
        <f>IFERROR(IF(B100=VLOOKUP(B100,Feriados[],2,0),H100,IF(N100="Sáb",H100,IF(AND(B100&lt;$T$1,H100&lt;=$AA$3),$Z$3,IF(AND(N100="Sex",H100&gt;$AA$3),H100,IF(H100&lt;=$AA$3,$Z$3,IF(H100&lt;=$AA$8,$Z$8,H100)))))),IF(N100="Sáb",H100,IF(AND(B100&lt;$T$1,H100&lt;=$AA$3),$Z$3,IF(AND(N100="Sex",H100&gt;$AA$3),H100,IF(H100&lt;=$AA$3,$Z$3,IF(H100&lt;=$AA$8,$Z$8,H100))))))</f>
        <v>0.75</v>
      </c>
      <c r="J100" s="33">
        <f t="shared" si="7"/>
        <v>0.375</v>
      </c>
      <c r="K100" s="33">
        <f>IFERROR(IF(H100="","",IF(B100=VLOOKUP(B100,Feriados[],2,0),(H100-D100)-(G100-E100),IF(D100&lt;=$Y$4,(I100-D100)-(G100-E100),(I100-C100)-(F100-E100)))),IF(AND(D100&lt;=$Y$4,F100-E100=$AB$1),(I100-D100)-(F100-E100),IF(D100&lt;$Y$4,(I100-D100)-(G100-E100),(I100-C100)-(F100-E100))))</f>
        <v>0.37500000000000006</v>
      </c>
      <c r="L100" s="40" t="str">
        <f>IF(B100=_xlfn.XLOOKUP(B100,Feriados[FE Oficial],Feriados[FE Talvez],"",0),"",IF(Q100="Compensado","",IF(AND(N100="Sex",D100&lt;$Y$4),($Z$4-D100)+$AB$1-(F100-E100)+(I100-$Z$3),IF(AND(N100="Sex",I100&gt;$Z$3),($AB$1-(F100-E100))+(I100-$Z$3),IF(AND(N100="Sex",E100&lt;&gt;"",D100&lt;$Y$4),($Z$4-D100)+$AB$1-(F100-E100)+(I100-$Z$3),IF(N100="Sáb",(I100-D100)-(G100-E100)-(S100-R100),IF(AND(B100&lt;$T$1,I100&gt;$Z$3),H100-$Z$3,IF(D100&lt;$Y$4,($Z$4-D100)+($AB$1-(F100-E100))+(I100-$Z$8)+(S100-R100),IF(AND(S100&lt;&gt;"",D100&gt;$Z$4),(S100-R100)-($AB$1-(F100-E100)),IF(AND(S100&lt;&gt;"",D100&lt;$Y$4),(S100-R100)-($AB$1-(F100-E100)+($Z$4-D100)),IF(I100&gt;$Z$8,($AB$1-(F100-E100))+(I100-$Z$8),IF(AND(N100="Sex",(F100-E100)&lt;($AB$1-$W$1)),($AB$1-(F100-E100)),IF(AND(O100&gt;($AB$1-$W$1),D100&gt;$Z$4),"",IF(AND(B100&gt;=$T$1,(F100-E100)&gt;($AB$1-$W$1)),"",IF(AND(D100&gt;=$Y$4,I100=$Z$8,S100=""),($AB$1-(F100-E100)),IF(AND(P100&lt;&gt;"",S100&lt;&gt;""),I100-$Z$8,IF(AND(P100&lt;&gt;"",D100&gt;$Y$4),$AB$1-(F100-E100),"")))))))))))))))))</f>
        <v/>
      </c>
      <c r="M100" s="107" t="str">
        <f>IFERROR(IF(H100="","",IF(B100=VLOOKUP(B100,Feriados[],2,0),(H100-D100)-(G100-E100),"")),"")</f>
        <v/>
      </c>
      <c r="N100" s="38" t="str">
        <f t="shared" si="8"/>
        <v>Ter</v>
      </c>
      <c r="O100" s="112">
        <f t="shared" si="9"/>
        <v>4.166666666666663E-2</v>
      </c>
      <c r="P100" s="113" t="str">
        <f>IF(B100=_xlfn.XLOOKUP(B100,Feriados[FE Oficial],Feriados[FE Talvez],"",0),"",IF(B100&lt;$T$1,"",IF(Q100="Consulta","",IF(Q100="Compensado","",IF(N100="Sáb","",IF(S100&lt;&gt;"",(S100-R100)-(($AB$1-O100)-(D100-$Z$4)),IF(O100&gt;$AB$1,O100-$AB$1,IF(C100&gt;$Z$4,C100-$Z$4,IF(AND(N100="Sex",G100&lt;&gt;"",H100=""),$Z$3-G100,IF(AND(G100&lt;&gt;"",H100=""),$Z$3-G100,IF(AND(N100="Sex",H100&lt;$Y$3),$Z$3-H100,IF(AND(N100&lt;&gt;"Sex",H100&gt;$AA$8),"",IF(AND(N100="Sex",H100&gt;$Z$8),"",IF(AND(N100&lt;&gt;"Sex",I100&gt;$Z$8),$Z$8-H100,IF(AND(N100&lt;&gt;"Sex",H100&lt;$Y$8),$Z$8-H100,"")))))))))))))))</f>
        <v/>
      </c>
      <c r="Q100" s="33"/>
      <c r="R100" s="33"/>
      <c r="S100" s="33"/>
    </row>
    <row r="101" spans="1:19" x14ac:dyDescent="0.25">
      <c r="A101" s="116" t="s">
        <v>197</v>
      </c>
      <c r="B101" s="32">
        <v>43831</v>
      </c>
      <c r="C101" s="39">
        <f t="shared" si="5"/>
        <v>0.33333333333333331</v>
      </c>
      <c r="D101" s="33">
        <v>0.33263888888888887</v>
      </c>
      <c r="E101" s="33">
        <v>0.5</v>
      </c>
      <c r="F101" s="39">
        <f t="shared" si="6"/>
        <v>0.54166666666666663</v>
      </c>
      <c r="G101" s="33">
        <v>0.54166666666666663</v>
      </c>
      <c r="H101" s="33">
        <v>0.75</v>
      </c>
      <c r="I101" s="39">
        <f>IFERROR(IF(B101=VLOOKUP(B101,Feriados[],2,0),H101,IF(N101="Sáb",H101,IF(AND(B101&lt;$T$1,H101&lt;=$AA$3),$Z$3,IF(AND(N101="Sex",H101&gt;$AA$3),H101,IF(H101&lt;=$AA$3,$Z$3,IF(H101&lt;=$AA$8,$Z$8,H101)))))),IF(N101="Sáb",H101,IF(AND(B101&lt;$T$1,H101&lt;=$AA$3),$Z$3,IF(AND(N101="Sex",H101&gt;$AA$3),H101,IF(H101&lt;=$AA$3,$Z$3,IF(H101&lt;=$AA$8,$Z$8,H101))))))</f>
        <v>0.75</v>
      </c>
      <c r="J101" s="33">
        <f t="shared" si="7"/>
        <v>0.375</v>
      </c>
      <c r="K101" s="33">
        <f>IFERROR(IF(H101="","",IF(B101=VLOOKUP(B101,Feriados[],2,0),(H101-D101)-(G101-E101),IF(D101&lt;=$Y$4,(I101-D101)-(G101-E101),(I101-C101)-(F101-E101)))),IF(AND(D101&lt;=$Y$4,F101-E101=$AB$1),(I101-D101)-(F101-E101),IF(D101&lt;$Y$4,(I101-D101)-(G101-E101),(I101-C101)-(F101-E101))))</f>
        <v>0.37500000000000006</v>
      </c>
      <c r="L101" s="40" t="str">
        <f>IF(B101=_xlfn.XLOOKUP(B101,Feriados[FE Oficial],Feriados[FE Talvez],"",0),"",IF(Q101="Compensado","",IF(AND(N101="Sex",D101&lt;$Y$4),($Z$4-D101)+$AB$1-(F101-E101)+(I101-$Z$3),IF(AND(N101="Sex",I101&gt;$Z$3),($AB$1-(F101-E101))+(I101-$Z$3),IF(AND(N101="Sex",E101&lt;&gt;"",D101&lt;$Y$4),($Z$4-D101)+$AB$1-(F101-E101)+(I101-$Z$3),IF(N101="Sáb",(I101-D101)-(G101-E101)-(S101-R101),IF(AND(B101&lt;$T$1,I101&gt;$Z$3),H101-$Z$3,IF(D101&lt;$Y$4,($Z$4-D101)+($AB$1-(F101-E101))+(I101-$Z$8)+(S101-R101),IF(AND(S101&lt;&gt;"",D101&gt;$Z$4),(S101-R101)-($AB$1-(F101-E101)),IF(AND(S101&lt;&gt;"",D101&lt;$Y$4),(S101-R101)-($AB$1-(F101-E101)+($Z$4-D101)),IF(I101&gt;$Z$8,($AB$1-(F101-E101))+(I101-$Z$8),IF(AND(N101="Sex",(F101-E101)&lt;($AB$1-$W$1)),($AB$1-(F101-E101)),IF(AND(O101&gt;($AB$1-$W$1),D101&gt;$Z$4),"",IF(AND(B101&gt;=$T$1,(F101-E101)&gt;($AB$1-$W$1)),"",IF(AND(D101&gt;=$Y$4,I101=$Z$8,S101=""),($AB$1-(F101-E101)),IF(AND(P101&lt;&gt;"",S101&lt;&gt;""),I101-$Z$8,IF(AND(P101&lt;&gt;"",D101&gt;$Y$4),$AB$1-(F101-E101),"")))))))))))))))))</f>
        <v/>
      </c>
      <c r="M101" s="107" t="str">
        <f>IFERROR(IF(H101="","",IF(B101=VLOOKUP(B101,Feriados[],2,0),(H101-D101)-(G101-E101),"")),"")</f>
        <v/>
      </c>
      <c r="N101" s="38" t="str">
        <f t="shared" si="8"/>
        <v>Ter</v>
      </c>
      <c r="O101" s="112">
        <f t="shared" si="9"/>
        <v>4.166666666666663E-2</v>
      </c>
      <c r="P101" s="113" t="str">
        <f>IF(B101=_xlfn.XLOOKUP(B101,Feriados[FE Oficial],Feriados[FE Talvez],"",0),"",IF(B101&lt;$T$1,"",IF(Q101="Consulta","",IF(Q101="Compensado","",IF(N101="Sáb","",IF(S101&lt;&gt;"",(S101-R101)-(($AB$1-O101)-(D101-$Z$4)),IF(O101&gt;$AB$1,O101-$AB$1,IF(C101&gt;$Z$4,C101-$Z$4,IF(AND(N101="Sex",G101&lt;&gt;"",H101=""),$Z$3-G101,IF(AND(G101&lt;&gt;"",H101=""),$Z$3-G101,IF(AND(N101="Sex",H101&lt;$Y$3),$Z$3-H101,IF(AND(N101&lt;&gt;"Sex",H101&gt;$AA$8),"",IF(AND(N101="Sex",H101&gt;$Z$8),"",IF(AND(N101&lt;&gt;"Sex",I101&gt;$Z$8),$Z$8-H101,IF(AND(N101&lt;&gt;"Sex",H101&lt;$Y$8),$Z$8-H101,"")))))))))))))))</f>
        <v/>
      </c>
      <c r="Q101" s="33"/>
      <c r="R101" s="33"/>
      <c r="S101" s="33"/>
    </row>
    <row r="102" spans="1:19" x14ac:dyDescent="0.25">
      <c r="A102" s="116" t="s">
        <v>175</v>
      </c>
      <c r="B102" s="32">
        <v>43831</v>
      </c>
      <c r="C102" s="39">
        <f t="shared" si="5"/>
        <v>0.33333333333333331</v>
      </c>
      <c r="D102" s="33">
        <v>0.33333333333333331</v>
      </c>
      <c r="E102" s="33">
        <v>0.5</v>
      </c>
      <c r="F102" s="39">
        <f t="shared" si="6"/>
        <v>0.54166666666666663</v>
      </c>
      <c r="G102" s="33">
        <v>0.54027777777777775</v>
      </c>
      <c r="H102" s="33">
        <v>0.75</v>
      </c>
      <c r="I102" s="39">
        <f>IFERROR(IF(B102=VLOOKUP(B102,Feriados[],2,0),H102,IF(N102="Sáb",H102,IF(AND(B102&lt;$T$1,H102&lt;=$AA$3),$Z$3,IF(AND(N102="Sex",H102&gt;$AA$3),H102,IF(H102&lt;=$AA$3,$Z$3,IF(H102&lt;=$AA$8,$Z$8,H102)))))),IF(N102="Sáb",H102,IF(AND(B102&lt;$T$1,H102&lt;=$AA$3),$Z$3,IF(AND(N102="Sex",H102&gt;$AA$3),H102,IF(H102&lt;=$AA$3,$Z$3,IF(H102&lt;=$AA$8,$Z$8,H102))))))</f>
        <v>0.75</v>
      </c>
      <c r="J102" s="33">
        <f t="shared" si="7"/>
        <v>0.375</v>
      </c>
      <c r="K102" s="33">
        <f>IFERROR(IF(H102="","",IF(B102=VLOOKUP(B102,Feriados[],2,0),(H102-D102)-(G102-E102),IF(D102&lt;=$Y$4,(I102-D102)-(G102-E102),(I102-C102)-(F102-E102)))),IF(AND(D102&lt;=$Y$4,F102-E102=$AB$1),(I102-D102)-(F102-E102),IF(D102&lt;$Y$4,(I102-D102)-(G102-E102),(I102-C102)-(F102-E102))))</f>
        <v>0.37500000000000006</v>
      </c>
      <c r="L102" s="40" t="str">
        <f>IF(B102=_xlfn.XLOOKUP(B102,Feriados[FE Oficial],Feriados[FE Talvez],"",0),"",IF(Q102="Compensado","",IF(AND(N102="Sex",D102&lt;$Y$4),($Z$4-D102)+$AB$1-(F102-E102)+(I102-$Z$3),IF(AND(N102="Sex",I102&gt;$Z$3),($AB$1-(F102-E102))+(I102-$Z$3),IF(AND(N102="Sex",E102&lt;&gt;"",D102&lt;$Y$4),($Z$4-D102)+$AB$1-(F102-E102)+(I102-$Z$3),IF(N102="Sáb",(I102-D102)-(G102-E102)-(S102-R102),IF(AND(B102&lt;$T$1,I102&gt;$Z$3),H102-$Z$3,IF(D102&lt;$Y$4,($Z$4-D102)+($AB$1-(F102-E102))+(I102-$Z$8)+(S102-R102),IF(AND(S102&lt;&gt;"",D102&gt;$Z$4),(S102-R102)-($AB$1-(F102-E102)),IF(AND(S102&lt;&gt;"",D102&lt;$Y$4),(S102-R102)-($AB$1-(F102-E102)+($Z$4-D102)),IF(I102&gt;$Z$8,($AB$1-(F102-E102))+(I102-$Z$8),IF(AND(N102="Sex",(F102-E102)&lt;($AB$1-$W$1)),($AB$1-(F102-E102)),IF(AND(O102&gt;($AB$1-$W$1),D102&gt;$Z$4),"",IF(AND(B102&gt;=$T$1,(F102-E102)&gt;($AB$1-$W$1)),"",IF(AND(D102&gt;=$Y$4,I102=$Z$8,S102=""),($AB$1-(F102-E102)),IF(AND(P102&lt;&gt;"",S102&lt;&gt;""),I102-$Z$8,IF(AND(P102&lt;&gt;"",D102&gt;$Y$4),$AB$1-(F102-E102),"")))))))))))))))))</f>
        <v/>
      </c>
      <c r="M102" s="107" t="str">
        <f>IFERROR(IF(H102="","",IF(B102=VLOOKUP(B102,Feriados[],2,0),(H102-D102)-(G102-E102),"")),"")</f>
        <v/>
      </c>
      <c r="N102" s="38" t="str">
        <f t="shared" si="8"/>
        <v>Ter</v>
      </c>
      <c r="O102" s="112">
        <f t="shared" si="9"/>
        <v>4.0277777777777746E-2</v>
      </c>
      <c r="P102" s="113" t="str">
        <f>IF(B102=_xlfn.XLOOKUP(B102,Feriados[FE Oficial],Feriados[FE Talvez],"",0),"",IF(B102&lt;$T$1,"",IF(Q102="Consulta","",IF(Q102="Compensado","",IF(N102="Sáb","",IF(S102&lt;&gt;"",(S102-R102)-(($AB$1-O102)-(D102-$Z$4)),IF(O102&gt;$AB$1,O102-$AB$1,IF(C102&gt;$Z$4,C102-$Z$4,IF(AND(N102="Sex",G102&lt;&gt;"",H102=""),$Z$3-G102,IF(AND(G102&lt;&gt;"",H102=""),$Z$3-G102,IF(AND(N102="Sex",H102&lt;$Y$3),$Z$3-H102,IF(AND(N102&lt;&gt;"Sex",H102&gt;$AA$8),"",IF(AND(N102="Sex",H102&gt;$Z$8),"",IF(AND(N102&lt;&gt;"Sex",I102&gt;$Z$8),$Z$8-H102,IF(AND(N102&lt;&gt;"Sex",H102&lt;$Y$8),$Z$8-H102,"")))))))))))))))</f>
        <v/>
      </c>
      <c r="Q102" s="33"/>
      <c r="R102" s="33"/>
      <c r="S102" s="33"/>
    </row>
    <row r="103" spans="1:19" x14ac:dyDescent="0.25">
      <c r="A103" s="116" t="s">
        <v>190</v>
      </c>
      <c r="B103" s="32">
        <v>43831</v>
      </c>
      <c r="C103" s="39">
        <f t="shared" si="5"/>
        <v>0.33333333333333331</v>
      </c>
      <c r="D103" s="33">
        <v>0.3263888888888889</v>
      </c>
      <c r="E103" s="33">
        <v>0.47916666666666669</v>
      </c>
      <c r="F103" s="39">
        <f t="shared" si="6"/>
        <v>0.52083333333333337</v>
      </c>
      <c r="G103" s="33">
        <v>0.52083333333333337</v>
      </c>
      <c r="H103" s="33">
        <v>0.75</v>
      </c>
      <c r="I103" s="39">
        <f>IFERROR(IF(B103=VLOOKUP(B103,Feriados[],2,0),H103,IF(N103="Sáb",H103,IF(AND(B103&lt;$T$1,H103&lt;=$AA$3),$Z$3,IF(AND(N103="Sex",H103&gt;$AA$3),H103,IF(H103&lt;=$AA$3,$Z$3,IF(H103&lt;=$AA$8,$Z$8,H103)))))),IF(N103="Sáb",H103,IF(AND(B103&lt;$T$1,H103&lt;=$AA$3),$Z$3,IF(AND(N103="Sex",H103&gt;$AA$3),H103,IF(H103&lt;=$AA$3,$Z$3,IF(H103&lt;=$AA$8,$Z$8,H103))))))</f>
        <v>0.75</v>
      </c>
      <c r="J103" s="33">
        <f t="shared" si="7"/>
        <v>0.375</v>
      </c>
      <c r="K103" s="33">
        <f>IFERROR(IF(H103="","",IF(B103=VLOOKUP(B103,Feriados[],2,0),(H103-D103)-(G103-E103),IF(D103&lt;=$Y$4,(I103-D103)-(G103-E103),(I103-C103)-(F103-E103)))),IF(AND(D103&lt;=$Y$4,F103-E103=$AB$1),(I103-D103)-(F103-E103),IF(D103&lt;$Y$4,(I103-D103)-(G103-E103),(I103-C103)-(F103-E103))))</f>
        <v>0.38194444444444442</v>
      </c>
      <c r="L103" s="40" t="str">
        <f>IF(B103=_xlfn.XLOOKUP(B103,Feriados[FE Oficial],Feriados[FE Talvez],"",0),"",IF(Q103="Compensado","",IF(AND(N103="Sex",D103&lt;$Y$4),($Z$4-D103)+$AB$1-(F103-E103)+(I103-$Z$3),IF(AND(N103="Sex",I103&gt;$Z$3),($AB$1-(F103-E103))+(I103-$Z$3),IF(AND(N103="Sex",E103&lt;&gt;"",D103&lt;$Y$4),($Z$4-D103)+$AB$1-(F103-E103)+(I103-$Z$3),IF(N103="Sáb",(I103-D103)-(G103-E103)-(S103-R103),IF(AND(B103&lt;$T$1,I103&gt;$Z$3),H103-$Z$3,IF(D103&lt;$Y$4,($Z$4-D103)+($AB$1-(F103-E103))+(I103-$Z$8)+(S103-R103),IF(AND(S103&lt;&gt;"",D103&gt;$Z$4),(S103-R103)-($AB$1-(F103-E103)),IF(AND(S103&lt;&gt;"",D103&lt;$Y$4),(S103-R103)-($AB$1-(F103-E103)+($Z$4-D103)),IF(I103&gt;$Z$8,($AB$1-(F103-E103))+(I103-$Z$8),IF(AND(N103="Sex",(F103-E103)&lt;($AB$1-$W$1)),($AB$1-(F103-E103)),IF(AND(O103&gt;($AB$1-$W$1),D103&gt;$Z$4),"",IF(AND(B103&gt;=$T$1,(F103-E103)&gt;($AB$1-$W$1)),"",IF(AND(D103&gt;=$Y$4,I103=$Z$8,S103=""),($AB$1-(F103-E103)),IF(AND(P103&lt;&gt;"",S103&lt;&gt;""),I103-$Z$8,IF(AND(P103&lt;&gt;"",D103&gt;$Y$4),$AB$1-(F103-E103),"")))))))))))))))))</f>
        <v/>
      </c>
      <c r="M103" s="107" t="str">
        <f>IFERROR(IF(H103="","",IF(B103=VLOOKUP(B103,Feriados[],2,0),(H103-D103)-(G103-E103),"")),"")</f>
        <v/>
      </c>
      <c r="N103" s="38" t="str">
        <f t="shared" si="8"/>
        <v>Ter</v>
      </c>
      <c r="O103" s="112">
        <f t="shared" si="9"/>
        <v>4.1666666666666685E-2</v>
      </c>
      <c r="P103" s="113" t="str">
        <f>IF(B103=_xlfn.XLOOKUP(B103,Feriados[FE Oficial],Feriados[FE Talvez],"",0),"",IF(B103&lt;$T$1,"",IF(Q103="Consulta","",IF(Q103="Compensado","",IF(N103="Sáb","",IF(S103&lt;&gt;"",(S103-R103)-(($AB$1-O103)-(D103-$Z$4)),IF(O103&gt;$AB$1,O103-$AB$1,IF(C103&gt;$Z$4,C103-$Z$4,IF(AND(N103="Sex",G103&lt;&gt;"",H103=""),$Z$3-G103,IF(AND(G103&lt;&gt;"",H103=""),$Z$3-G103,IF(AND(N103="Sex",H103&lt;$Y$3),$Z$3-H103,IF(AND(N103&lt;&gt;"Sex",H103&gt;$AA$8),"",IF(AND(N103="Sex",H103&gt;$Z$8),"",IF(AND(N103&lt;&gt;"Sex",I103&gt;$Z$8),$Z$8-H103,IF(AND(N103&lt;&gt;"Sex",H103&lt;$Y$8),$Z$8-H103,"")))))))))))))))</f>
        <v/>
      </c>
      <c r="Q103" s="33"/>
      <c r="R103" s="33"/>
      <c r="S103" s="33"/>
    </row>
    <row r="104" spans="1:19" x14ac:dyDescent="0.25">
      <c r="A104" s="116" t="s">
        <v>194</v>
      </c>
      <c r="B104" s="32">
        <v>43831</v>
      </c>
      <c r="C104" s="39">
        <f t="shared" si="5"/>
        <v>0.33333333333333331</v>
      </c>
      <c r="D104" s="33">
        <v>0.29166666666666669</v>
      </c>
      <c r="E104" s="33">
        <v>0.5</v>
      </c>
      <c r="F104" s="39">
        <f t="shared" si="6"/>
        <v>0.54166666666666663</v>
      </c>
      <c r="G104" s="33">
        <v>0.54166666666666663</v>
      </c>
      <c r="H104" s="33">
        <v>0.75</v>
      </c>
      <c r="I104" s="39">
        <f>IFERROR(IF(B104=VLOOKUP(B104,Feriados[],2,0),H104,IF(N104="Sáb",H104,IF(AND(B104&lt;$T$1,H104&lt;=$AA$3),$Z$3,IF(AND(N104="Sex",H104&gt;$AA$3),H104,IF(H104&lt;=$AA$3,$Z$3,IF(H104&lt;=$AA$8,$Z$8,H104)))))),IF(N104="Sáb",H104,IF(AND(B104&lt;$T$1,H104&lt;=$AA$3),$Z$3,IF(AND(N104="Sex",H104&gt;$AA$3),H104,IF(H104&lt;=$AA$3,$Z$3,IF(H104&lt;=$AA$8,$Z$8,H104))))))</f>
        <v>0.75</v>
      </c>
      <c r="J104" s="33">
        <f t="shared" si="7"/>
        <v>0.375</v>
      </c>
      <c r="K104" s="33">
        <f>IFERROR(IF(H104="","",IF(B104=VLOOKUP(B104,Feriados[],2,0),(H104-D104)-(G104-E104),IF(D104&lt;=$Y$4,(I104-D104)-(G104-E104),(I104-C104)-(F104-E104)))),IF(AND(D104&lt;=$Y$4,F104-E104=$AB$1),(I104-D104)-(F104-E104),IF(D104&lt;$Y$4,(I104-D104)-(G104-E104),(I104-C104)-(F104-E104))))</f>
        <v>0.41666666666666669</v>
      </c>
      <c r="L104" s="40">
        <f>IF(B104=_xlfn.XLOOKUP(B104,Feriados[FE Oficial],Feriados[FE Talvez],"",0),"",IF(Q104="Compensado","",IF(AND(N104="Sex",D104&lt;$Y$4),($Z$4-D104)+$AB$1-(F104-E104)+(I104-$Z$3),IF(AND(N104="Sex",I104&gt;$Z$3),($AB$1-(F104-E104))+(I104-$Z$3),IF(AND(N104="Sex",E104&lt;&gt;"",D104&lt;$Y$4),($Z$4-D104)+$AB$1-(F104-E104)+(I104-$Z$3),IF(N104="Sáb",(I104-D104)-(G104-E104)-(S104-R104),IF(AND(B104&lt;$T$1,I104&gt;$Z$3),H104-$Z$3,IF(D104&lt;$Y$4,($Z$4-D104)+($AB$1-(F104-E104))+(I104-$Z$8)+(S104-R104),IF(AND(S104&lt;&gt;"",D104&gt;$Z$4),(S104-R104)-($AB$1-(F104-E104)),IF(AND(S104&lt;&gt;"",D104&lt;$Y$4),(S104-R104)-($AB$1-(F104-E104)+($Z$4-D104)),IF(I104&gt;$Z$8,($AB$1-(F104-E104))+(I104-$Z$8),IF(AND(N104="Sex",(F104-E104)&lt;($AB$1-$W$1)),($AB$1-(F104-E104)),IF(AND(O104&gt;($AB$1-$W$1),D104&gt;$Z$4),"",IF(AND(B104&gt;=$T$1,(F104-E104)&gt;($AB$1-$W$1)),"",IF(AND(D104&gt;=$Y$4,I104=$Z$8,S104=""),($AB$1-(F104-E104)),IF(AND(P104&lt;&gt;"",S104&lt;&gt;""),I104-$Z$8,IF(AND(P104&lt;&gt;"",D104&gt;$Y$4),$AB$1-(F104-E104),"")))))))))))))))))</f>
        <v>4.1666666666666664E-2</v>
      </c>
      <c r="M104" s="107" t="str">
        <f>IFERROR(IF(H104="","",IF(B104=VLOOKUP(B104,Feriados[],2,0),(H104-D104)-(G104-E104),"")),"")</f>
        <v/>
      </c>
      <c r="N104" s="38" t="str">
        <f t="shared" si="8"/>
        <v>Ter</v>
      </c>
      <c r="O104" s="112">
        <f t="shared" si="9"/>
        <v>4.166666666666663E-2</v>
      </c>
      <c r="P104" s="113" t="str">
        <f>IF(B104=_xlfn.XLOOKUP(B104,Feriados[FE Oficial],Feriados[FE Talvez],"",0),"",IF(B104&lt;$T$1,"",IF(Q104="Consulta","",IF(Q104="Compensado","",IF(N104="Sáb","",IF(S104&lt;&gt;"",(S104-R104)-(($AB$1-O104)-(D104-$Z$4)),IF(O104&gt;$AB$1,O104-$AB$1,IF(C104&gt;$Z$4,C104-$Z$4,IF(AND(N104="Sex",G104&lt;&gt;"",H104=""),$Z$3-G104,IF(AND(G104&lt;&gt;"",H104=""),$Z$3-G104,IF(AND(N104="Sex",H104&lt;$Y$3),$Z$3-H104,IF(AND(N104&lt;&gt;"Sex",H104&gt;$AA$8),"",IF(AND(N104="Sex",H104&gt;$Z$8),"",IF(AND(N104&lt;&gt;"Sex",I104&gt;$Z$8),$Z$8-H104,IF(AND(N104&lt;&gt;"Sex",H104&lt;$Y$8),$Z$8-H104,"")))))))))))))))</f>
        <v/>
      </c>
      <c r="Q104" s="33"/>
      <c r="R104" s="33"/>
      <c r="S104" s="33"/>
    </row>
    <row r="105" spans="1:19" x14ac:dyDescent="0.25">
      <c r="A105" s="116" t="s">
        <v>191</v>
      </c>
      <c r="B105" s="32">
        <v>43832</v>
      </c>
      <c r="C105" s="39">
        <f t="shared" si="5"/>
        <v>0.33333333333333331</v>
      </c>
      <c r="D105" s="33">
        <v>0.3263888888888889</v>
      </c>
      <c r="E105" s="33">
        <v>0.5</v>
      </c>
      <c r="F105" s="39">
        <f t="shared" si="6"/>
        <v>0.54166666666666663</v>
      </c>
      <c r="G105" s="33">
        <v>0.54166666666666663</v>
      </c>
      <c r="H105" s="33">
        <v>0.75</v>
      </c>
      <c r="I105" s="39">
        <f>IFERROR(IF(B105=VLOOKUP(B105,Feriados[],2,0),H105,IF(N105="Sáb",H105,IF(AND(B105&lt;$T$1,H105&lt;=$AA$3),$Z$3,IF(AND(N105="Sex",H105&gt;$AA$3),H105,IF(H105&lt;=$AA$3,$Z$3,IF(H105&lt;=$AA$8,$Z$8,H105)))))),IF(N105="Sáb",H105,IF(AND(B105&lt;$T$1,H105&lt;=$AA$3),$Z$3,IF(AND(N105="Sex",H105&gt;$AA$3),H105,IF(H105&lt;=$AA$3,$Z$3,IF(H105&lt;=$AA$8,$Z$8,H105))))))</f>
        <v>0.75</v>
      </c>
      <c r="J105" s="33">
        <f t="shared" si="7"/>
        <v>0.375</v>
      </c>
      <c r="K105" s="33">
        <f>IFERROR(IF(H105="","",IF(B105=VLOOKUP(B105,Feriados[],2,0),(H105-D105)-(G105-E105),IF(D105&lt;=$Y$4,(I105-D105)-(G105-E105),(I105-C105)-(F105-E105)))),IF(AND(D105&lt;=$Y$4,F105-E105=$AB$1),(I105-D105)-(F105-E105),IF(D105&lt;$Y$4,(I105-D105)-(G105-E105),(I105-C105)-(F105-E105))))</f>
        <v>0.37500000000000006</v>
      </c>
      <c r="L105" s="40" t="str">
        <f>IF(B105=_xlfn.XLOOKUP(B105,Feriados[FE Oficial],Feriados[FE Talvez],"",0),"",IF(Q105="Compensado","",IF(AND(N105="Sex",D105&lt;$Y$4),($Z$4-D105)+$AB$1-(F105-E105)+(I105-$Z$3),IF(AND(N105="Sex",I105&gt;$Z$3),($AB$1-(F105-E105))+(I105-$Z$3),IF(AND(N105="Sex",E105&lt;&gt;"",D105&lt;$Y$4),($Z$4-D105)+$AB$1-(F105-E105)+(I105-$Z$3),IF(N105="Sáb",(I105-D105)-(G105-E105)-(S105-R105),IF(AND(B105&lt;$T$1,I105&gt;$Z$3),H105-$Z$3,IF(D105&lt;$Y$4,($Z$4-D105)+($AB$1-(F105-E105))+(I105-$Z$8)+(S105-R105),IF(AND(S105&lt;&gt;"",D105&gt;$Z$4),(S105-R105)-($AB$1-(F105-E105)),IF(AND(S105&lt;&gt;"",D105&lt;$Y$4),(S105-R105)-($AB$1-(F105-E105)+($Z$4-D105)),IF(I105&gt;$Z$8,($AB$1-(F105-E105))+(I105-$Z$8),IF(AND(N105="Sex",(F105-E105)&lt;($AB$1-$W$1)),($AB$1-(F105-E105)),IF(AND(O105&gt;($AB$1-$W$1),D105&gt;$Z$4),"",IF(AND(B105&gt;=$T$1,(F105-E105)&gt;($AB$1-$W$1)),"",IF(AND(D105&gt;=$Y$4,I105=$Z$8,S105=""),($AB$1-(F105-E105)),IF(AND(P105&lt;&gt;"",S105&lt;&gt;""),I105-$Z$8,IF(AND(P105&lt;&gt;"",D105&gt;$Y$4),$AB$1-(F105-E105),"")))))))))))))))))</f>
        <v/>
      </c>
      <c r="M105" s="107" t="str">
        <f>IFERROR(IF(H105="","",IF(B105=VLOOKUP(B105,Feriados[],2,0),(H105-D105)-(G105-E105),"")),"")</f>
        <v/>
      </c>
      <c r="N105" s="38" t="str">
        <f t="shared" si="8"/>
        <v>Qua</v>
      </c>
      <c r="O105" s="112">
        <f t="shared" si="9"/>
        <v>4.166666666666663E-2</v>
      </c>
      <c r="P105" s="113" t="str">
        <f>IF(B105=_xlfn.XLOOKUP(B105,Feriados[FE Oficial],Feriados[FE Talvez],"",0),"",IF(B105&lt;$T$1,"",IF(Q105="Consulta","",IF(Q105="Compensado","",IF(N105="Sáb","",IF(S105&lt;&gt;"",(S105-R105)-(($AB$1-O105)-(D105-$Z$4)),IF(O105&gt;$AB$1,O105-$AB$1,IF(C105&gt;$Z$4,C105-$Z$4,IF(AND(N105="Sex",G105&lt;&gt;"",H105=""),$Z$3-G105,IF(AND(G105&lt;&gt;"",H105=""),$Z$3-G105,IF(AND(N105="Sex",H105&lt;$Y$3),$Z$3-H105,IF(AND(N105&lt;&gt;"Sex",H105&gt;$AA$8),"",IF(AND(N105="Sex",H105&gt;$Z$8),"",IF(AND(N105&lt;&gt;"Sex",I105&gt;$Z$8),$Z$8-H105,IF(AND(N105&lt;&gt;"Sex",H105&lt;$Y$8),$Z$8-H105,"")))))))))))))))</f>
        <v/>
      </c>
      <c r="Q105" s="33"/>
      <c r="R105" s="33"/>
      <c r="S105" s="33"/>
    </row>
    <row r="106" spans="1:19" x14ac:dyDescent="0.25">
      <c r="A106" s="116" t="s">
        <v>197</v>
      </c>
      <c r="B106" s="32">
        <v>43832</v>
      </c>
      <c r="C106" s="39">
        <f t="shared" si="5"/>
        <v>0.33333333333333331</v>
      </c>
      <c r="D106" s="33">
        <v>0.3263888888888889</v>
      </c>
      <c r="E106" s="33">
        <v>0.4826388888888889</v>
      </c>
      <c r="F106" s="39">
        <f t="shared" si="6"/>
        <v>0.52430555555555558</v>
      </c>
      <c r="G106" s="33">
        <v>0.52083333333333337</v>
      </c>
      <c r="H106" s="33">
        <v>0.75</v>
      </c>
      <c r="I106" s="39">
        <f>IFERROR(IF(B106=VLOOKUP(B106,Feriados[],2,0),H106,IF(N106="Sáb",H106,IF(AND(B106&lt;$T$1,H106&lt;=$AA$3),$Z$3,IF(AND(N106="Sex",H106&gt;$AA$3),H106,IF(H106&lt;=$AA$3,$Z$3,IF(H106&lt;=$AA$8,$Z$8,H106)))))),IF(N106="Sáb",H106,IF(AND(B106&lt;$T$1,H106&lt;=$AA$3),$Z$3,IF(AND(N106="Sex",H106&gt;$AA$3),H106,IF(H106&lt;=$AA$3,$Z$3,IF(H106&lt;=$AA$8,$Z$8,H106))))))</f>
        <v>0.75</v>
      </c>
      <c r="J106" s="33">
        <f t="shared" si="7"/>
        <v>0.375</v>
      </c>
      <c r="K106" s="33">
        <f>IFERROR(IF(H106="","",IF(B106=VLOOKUP(B106,Feriados[],2,0),(H106-D106)-(G106-E106),IF(D106&lt;=$Y$4,(I106-D106)-(G106-E106),(I106-C106)-(F106-E106)))),IF(AND(D106&lt;=$Y$4,F106-E106=$AB$1),(I106-D106)-(F106-E106),IF(D106&lt;$Y$4,(I106-D106)-(G106-E106),(I106-C106)-(F106-E106))))</f>
        <v>0.38194444444444442</v>
      </c>
      <c r="L106" s="40" t="str">
        <f>IF(B106=_xlfn.XLOOKUP(B106,Feriados[FE Oficial],Feriados[FE Talvez],"",0),"",IF(Q106="Compensado","",IF(AND(N106="Sex",D106&lt;$Y$4),($Z$4-D106)+$AB$1-(F106-E106)+(I106-$Z$3),IF(AND(N106="Sex",I106&gt;$Z$3),($AB$1-(F106-E106))+(I106-$Z$3),IF(AND(N106="Sex",E106&lt;&gt;"",D106&lt;$Y$4),($Z$4-D106)+$AB$1-(F106-E106)+(I106-$Z$3),IF(N106="Sáb",(I106-D106)-(G106-E106)-(S106-R106),IF(AND(B106&lt;$T$1,I106&gt;$Z$3),H106-$Z$3,IF(D106&lt;$Y$4,($Z$4-D106)+($AB$1-(F106-E106))+(I106-$Z$8)+(S106-R106),IF(AND(S106&lt;&gt;"",D106&gt;$Z$4),(S106-R106)-($AB$1-(F106-E106)),IF(AND(S106&lt;&gt;"",D106&lt;$Y$4),(S106-R106)-($AB$1-(F106-E106)+($Z$4-D106)),IF(I106&gt;$Z$8,($AB$1-(F106-E106))+(I106-$Z$8),IF(AND(N106="Sex",(F106-E106)&lt;($AB$1-$W$1)),($AB$1-(F106-E106)),IF(AND(O106&gt;($AB$1-$W$1),D106&gt;$Z$4),"",IF(AND(B106&gt;=$T$1,(F106-E106)&gt;($AB$1-$W$1)),"",IF(AND(D106&gt;=$Y$4,I106=$Z$8,S106=""),($AB$1-(F106-E106)),IF(AND(P106&lt;&gt;"",S106&lt;&gt;""),I106-$Z$8,IF(AND(P106&lt;&gt;"",D106&gt;$Y$4),$AB$1-(F106-E106),"")))))))))))))))))</f>
        <v/>
      </c>
      <c r="M106" s="107" t="str">
        <f>IFERROR(IF(H106="","",IF(B106=VLOOKUP(B106,Feriados[],2,0),(H106-D106)-(G106-E106),"")),"")</f>
        <v/>
      </c>
      <c r="N106" s="38" t="str">
        <f t="shared" si="8"/>
        <v>Qua</v>
      </c>
      <c r="O106" s="112">
        <f t="shared" si="9"/>
        <v>3.8194444444444475E-2</v>
      </c>
      <c r="P106" s="113" t="str">
        <f>IF(B106=_xlfn.XLOOKUP(B106,Feriados[FE Oficial],Feriados[FE Talvez],"",0),"",IF(B106&lt;$T$1,"",IF(Q106="Consulta","",IF(Q106="Compensado","",IF(N106="Sáb","",IF(S106&lt;&gt;"",(S106-R106)-(($AB$1-O106)-(D106-$Z$4)),IF(O106&gt;$AB$1,O106-$AB$1,IF(C106&gt;$Z$4,C106-$Z$4,IF(AND(N106="Sex",G106&lt;&gt;"",H106=""),$Z$3-G106,IF(AND(G106&lt;&gt;"",H106=""),$Z$3-G106,IF(AND(N106="Sex",H106&lt;$Y$3),$Z$3-H106,IF(AND(N106&lt;&gt;"Sex",H106&gt;$AA$8),"",IF(AND(N106="Sex",H106&gt;$Z$8),"",IF(AND(N106&lt;&gt;"Sex",I106&gt;$Z$8),$Z$8-H106,IF(AND(N106&lt;&gt;"Sex",H106&lt;$Y$8),$Z$8-H106,"")))))))))))))))</f>
        <v/>
      </c>
      <c r="Q106" s="33"/>
      <c r="R106" s="33"/>
      <c r="S106" s="33"/>
    </row>
    <row r="107" spans="1:19" x14ac:dyDescent="0.25">
      <c r="A107" s="116" t="s">
        <v>175</v>
      </c>
      <c r="B107" s="32">
        <v>43832</v>
      </c>
      <c r="C107" s="39">
        <f t="shared" si="5"/>
        <v>0.33333333333333331</v>
      </c>
      <c r="D107" s="33">
        <v>0.3263888888888889</v>
      </c>
      <c r="E107" s="33">
        <v>0.5</v>
      </c>
      <c r="F107" s="39">
        <f t="shared" si="6"/>
        <v>0.54166666666666663</v>
      </c>
      <c r="G107" s="33">
        <v>0.54097222222222219</v>
      </c>
      <c r="H107" s="33">
        <v>0.75</v>
      </c>
      <c r="I107" s="39">
        <f>IFERROR(IF(B107=VLOOKUP(B107,Feriados[],2,0),H107,IF(N107="Sáb",H107,IF(AND(B107&lt;$T$1,H107&lt;=$AA$3),$Z$3,IF(AND(N107="Sex",H107&gt;$AA$3),H107,IF(H107&lt;=$AA$3,$Z$3,IF(H107&lt;=$AA$8,$Z$8,H107)))))),IF(N107="Sáb",H107,IF(AND(B107&lt;$T$1,H107&lt;=$AA$3),$Z$3,IF(AND(N107="Sex",H107&gt;$AA$3),H107,IF(H107&lt;=$AA$3,$Z$3,IF(H107&lt;=$AA$8,$Z$8,H107))))))</f>
        <v>0.75</v>
      </c>
      <c r="J107" s="33">
        <f t="shared" si="7"/>
        <v>0.375</v>
      </c>
      <c r="K107" s="33">
        <f>IFERROR(IF(H107="","",IF(B107=VLOOKUP(B107,Feriados[],2,0),(H107-D107)-(G107-E107),IF(D107&lt;=$Y$4,(I107-D107)-(G107-E107),(I107-C107)-(F107-E107)))),IF(AND(D107&lt;=$Y$4,F107-E107=$AB$1),(I107-D107)-(F107-E107),IF(D107&lt;$Y$4,(I107-D107)-(G107-E107),(I107-C107)-(F107-E107))))</f>
        <v>0.37500000000000006</v>
      </c>
      <c r="L107" s="40" t="str">
        <f>IF(B107=_xlfn.XLOOKUP(B107,Feriados[FE Oficial],Feriados[FE Talvez],"",0),"",IF(Q107="Compensado","",IF(AND(N107="Sex",D107&lt;$Y$4),($Z$4-D107)+$AB$1-(F107-E107)+(I107-$Z$3),IF(AND(N107="Sex",I107&gt;$Z$3),($AB$1-(F107-E107))+(I107-$Z$3),IF(AND(N107="Sex",E107&lt;&gt;"",D107&lt;$Y$4),($Z$4-D107)+$AB$1-(F107-E107)+(I107-$Z$3),IF(N107="Sáb",(I107-D107)-(G107-E107)-(S107-R107),IF(AND(B107&lt;$T$1,I107&gt;$Z$3),H107-$Z$3,IF(D107&lt;$Y$4,($Z$4-D107)+($AB$1-(F107-E107))+(I107-$Z$8)+(S107-R107),IF(AND(S107&lt;&gt;"",D107&gt;$Z$4),(S107-R107)-($AB$1-(F107-E107)),IF(AND(S107&lt;&gt;"",D107&lt;$Y$4),(S107-R107)-($AB$1-(F107-E107)+($Z$4-D107)),IF(I107&gt;$Z$8,($AB$1-(F107-E107))+(I107-$Z$8),IF(AND(N107="Sex",(F107-E107)&lt;($AB$1-$W$1)),($AB$1-(F107-E107)),IF(AND(O107&gt;($AB$1-$W$1),D107&gt;$Z$4),"",IF(AND(B107&gt;=$T$1,(F107-E107)&gt;($AB$1-$W$1)),"",IF(AND(D107&gt;=$Y$4,I107=$Z$8,S107=""),($AB$1-(F107-E107)),IF(AND(P107&lt;&gt;"",S107&lt;&gt;""),I107-$Z$8,IF(AND(P107&lt;&gt;"",D107&gt;$Y$4),$AB$1-(F107-E107),"")))))))))))))))))</f>
        <v/>
      </c>
      <c r="M107" s="107" t="str">
        <f>IFERROR(IF(H107="","",IF(B107=VLOOKUP(B107,Feriados[],2,0),(H107-D107)-(G107-E107),"")),"")</f>
        <v/>
      </c>
      <c r="N107" s="38" t="str">
        <f t="shared" si="8"/>
        <v>Qua</v>
      </c>
      <c r="O107" s="112">
        <f t="shared" si="9"/>
        <v>4.0972222222222188E-2</v>
      </c>
      <c r="P107" s="113" t="str">
        <f>IF(B107=_xlfn.XLOOKUP(B107,Feriados[FE Oficial],Feriados[FE Talvez],"",0),"",IF(B107&lt;$T$1,"",IF(Q107="Consulta","",IF(Q107="Compensado","",IF(N107="Sáb","",IF(S107&lt;&gt;"",(S107-R107)-(($AB$1-O107)-(D107-$Z$4)),IF(O107&gt;$AB$1,O107-$AB$1,IF(C107&gt;$Z$4,C107-$Z$4,IF(AND(N107="Sex",G107&lt;&gt;"",H107=""),$Z$3-G107,IF(AND(G107&lt;&gt;"",H107=""),$Z$3-G107,IF(AND(N107="Sex",H107&lt;$Y$3),$Z$3-H107,IF(AND(N107&lt;&gt;"Sex",H107&gt;$AA$8),"",IF(AND(N107="Sex",H107&gt;$Z$8),"",IF(AND(N107&lt;&gt;"Sex",I107&gt;$Z$8),$Z$8-H107,IF(AND(N107&lt;&gt;"Sex",H107&lt;$Y$8),$Z$8-H107,"")))))))))))))))</f>
        <v/>
      </c>
      <c r="Q107" s="33"/>
      <c r="R107" s="33"/>
      <c r="S107" s="33"/>
    </row>
    <row r="108" spans="1:19" x14ac:dyDescent="0.25">
      <c r="A108" s="116" t="s">
        <v>194</v>
      </c>
      <c r="B108" s="32">
        <v>43832</v>
      </c>
      <c r="C108" s="39">
        <f t="shared" si="5"/>
        <v>0.33333333333333331</v>
      </c>
      <c r="D108" s="33">
        <v>0.29166666666666669</v>
      </c>
      <c r="E108" s="33">
        <v>0.5</v>
      </c>
      <c r="F108" s="39">
        <f t="shared" si="6"/>
        <v>0.54166666666666663</v>
      </c>
      <c r="G108" s="33">
        <v>0.54166666666666663</v>
      </c>
      <c r="H108" s="33">
        <v>0.75</v>
      </c>
      <c r="I108" s="39">
        <f>IFERROR(IF(B108=VLOOKUP(B108,Feriados[],2,0),H108,IF(N108="Sáb",H108,IF(AND(B108&lt;$T$1,H108&lt;=$AA$3),$Z$3,IF(AND(N108="Sex",H108&gt;$AA$3),H108,IF(H108&lt;=$AA$3,$Z$3,IF(H108&lt;=$AA$8,$Z$8,H108)))))),IF(N108="Sáb",H108,IF(AND(B108&lt;$T$1,H108&lt;=$AA$3),$Z$3,IF(AND(N108="Sex",H108&gt;$AA$3),H108,IF(H108&lt;=$AA$3,$Z$3,IF(H108&lt;=$AA$8,$Z$8,H108))))))</f>
        <v>0.75</v>
      </c>
      <c r="J108" s="33">
        <f t="shared" si="7"/>
        <v>0.375</v>
      </c>
      <c r="K108" s="33">
        <f>IFERROR(IF(H108="","",IF(B108=VLOOKUP(B108,Feriados[],2,0),(H108-D108)-(G108-E108),IF(D108&lt;=$Y$4,(I108-D108)-(G108-E108),(I108-C108)-(F108-E108)))),IF(AND(D108&lt;=$Y$4,F108-E108=$AB$1),(I108-D108)-(F108-E108),IF(D108&lt;$Y$4,(I108-D108)-(G108-E108),(I108-C108)-(F108-E108))))</f>
        <v>0.41666666666666669</v>
      </c>
      <c r="L108" s="40">
        <f>IF(B108=_xlfn.XLOOKUP(B108,Feriados[FE Oficial],Feriados[FE Talvez],"",0),"",IF(Q108="Compensado","",IF(AND(N108="Sex",D108&lt;$Y$4),($Z$4-D108)+$AB$1-(F108-E108)+(I108-$Z$3),IF(AND(N108="Sex",I108&gt;$Z$3),($AB$1-(F108-E108))+(I108-$Z$3),IF(AND(N108="Sex",E108&lt;&gt;"",D108&lt;$Y$4),($Z$4-D108)+$AB$1-(F108-E108)+(I108-$Z$3),IF(N108="Sáb",(I108-D108)-(G108-E108)-(S108-R108),IF(AND(B108&lt;$T$1,I108&gt;$Z$3),H108-$Z$3,IF(D108&lt;$Y$4,($Z$4-D108)+($AB$1-(F108-E108))+(I108-$Z$8)+(S108-R108),IF(AND(S108&lt;&gt;"",D108&gt;$Z$4),(S108-R108)-($AB$1-(F108-E108)),IF(AND(S108&lt;&gt;"",D108&lt;$Y$4),(S108-R108)-($AB$1-(F108-E108)+($Z$4-D108)),IF(I108&gt;$Z$8,($AB$1-(F108-E108))+(I108-$Z$8),IF(AND(N108="Sex",(F108-E108)&lt;($AB$1-$W$1)),($AB$1-(F108-E108)),IF(AND(O108&gt;($AB$1-$W$1),D108&gt;$Z$4),"",IF(AND(B108&gt;=$T$1,(F108-E108)&gt;($AB$1-$W$1)),"",IF(AND(D108&gt;=$Y$4,I108=$Z$8,S108=""),($AB$1-(F108-E108)),IF(AND(P108&lt;&gt;"",S108&lt;&gt;""),I108-$Z$8,IF(AND(P108&lt;&gt;"",D108&gt;$Y$4),$AB$1-(F108-E108),"")))))))))))))))))</f>
        <v>4.1666666666666664E-2</v>
      </c>
      <c r="M108" s="107" t="str">
        <f>IFERROR(IF(H108="","",IF(B108=VLOOKUP(B108,Feriados[],2,0),(H108-D108)-(G108-E108),"")),"")</f>
        <v/>
      </c>
      <c r="N108" s="38" t="str">
        <f t="shared" si="8"/>
        <v>Qua</v>
      </c>
      <c r="O108" s="112">
        <f t="shared" si="9"/>
        <v>4.166666666666663E-2</v>
      </c>
      <c r="P108" s="113" t="str">
        <f>IF(B108=_xlfn.XLOOKUP(B108,Feriados[FE Oficial],Feriados[FE Talvez],"",0),"",IF(B108&lt;$T$1,"",IF(Q108="Consulta","",IF(Q108="Compensado","",IF(N108="Sáb","",IF(S108&lt;&gt;"",(S108-R108)-(($AB$1-O108)-(D108-$Z$4)),IF(O108&gt;$AB$1,O108-$AB$1,IF(C108&gt;$Z$4,C108-$Z$4,IF(AND(N108="Sex",G108&lt;&gt;"",H108=""),$Z$3-G108,IF(AND(G108&lt;&gt;"",H108=""),$Z$3-G108,IF(AND(N108="Sex",H108&lt;$Y$3),$Z$3-H108,IF(AND(N108&lt;&gt;"Sex",H108&gt;$AA$8),"",IF(AND(N108="Sex",H108&gt;$Z$8),"",IF(AND(N108&lt;&gt;"Sex",I108&gt;$Z$8),$Z$8-H108,IF(AND(N108&lt;&gt;"Sex",H108&lt;$Y$8),$Z$8-H108,"")))))))))))))))</f>
        <v/>
      </c>
      <c r="Q108" s="33"/>
      <c r="R108" s="33"/>
      <c r="S108" s="33"/>
    </row>
    <row r="109" spans="1:19" x14ac:dyDescent="0.25">
      <c r="A109" s="116" t="s">
        <v>190</v>
      </c>
      <c r="B109" s="32">
        <v>43832</v>
      </c>
      <c r="C109" s="39">
        <f t="shared" si="5"/>
        <v>0.33333333333333331</v>
      </c>
      <c r="D109" s="33">
        <v>0.3298611111111111</v>
      </c>
      <c r="E109" s="33">
        <v>0.4826388888888889</v>
      </c>
      <c r="F109" s="39">
        <f t="shared" si="6"/>
        <v>0.52430555555555558</v>
      </c>
      <c r="G109" s="33">
        <v>0.52083333333333337</v>
      </c>
      <c r="H109" s="33">
        <v>0.75</v>
      </c>
      <c r="I109" s="39">
        <f>IFERROR(IF(B109=VLOOKUP(B109,Feriados[],2,0),H109,IF(N109="Sáb",H109,IF(AND(B109&lt;$T$1,H109&lt;=$AA$3),$Z$3,IF(AND(N109="Sex",H109&gt;$AA$3),H109,IF(H109&lt;=$AA$3,$Z$3,IF(H109&lt;=$AA$8,$Z$8,H109)))))),IF(N109="Sáb",H109,IF(AND(B109&lt;$T$1,H109&lt;=$AA$3),$Z$3,IF(AND(N109="Sex",H109&gt;$AA$3),H109,IF(H109&lt;=$AA$3,$Z$3,IF(H109&lt;=$AA$8,$Z$8,H109))))))</f>
        <v>0.75</v>
      </c>
      <c r="J109" s="33">
        <f t="shared" si="7"/>
        <v>0.375</v>
      </c>
      <c r="K109" s="33">
        <f>IFERROR(IF(H109="","",IF(B109=VLOOKUP(B109,Feriados[],2,0),(H109-D109)-(G109-E109),IF(D109&lt;=$Y$4,(I109-D109)-(G109-E109),(I109-C109)-(F109-E109)))),IF(AND(D109&lt;=$Y$4,F109-E109=$AB$1),(I109-D109)-(F109-E109),IF(D109&lt;$Y$4,(I109-D109)-(G109-E109),(I109-C109)-(F109-E109))))</f>
        <v>0.375</v>
      </c>
      <c r="L109" s="40" t="str">
        <f>IF(B109=_xlfn.XLOOKUP(B109,Feriados[FE Oficial],Feriados[FE Talvez],"",0),"",IF(Q109="Compensado","",IF(AND(N109="Sex",D109&lt;$Y$4),($Z$4-D109)+$AB$1-(F109-E109)+(I109-$Z$3),IF(AND(N109="Sex",I109&gt;$Z$3),($AB$1-(F109-E109))+(I109-$Z$3),IF(AND(N109="Sex",E109&lt;&gt;"",D109&lt;$Y$4),($Z$4-D109)+$AB$1-(F109-E109)+(I109-$Z$3),IF(N109="Sáb",(I109-D109)-(G109-E109)-(S109-R109),IF(AND(B109&lt;$T$1,I109&gt;$Z$3),H109-$Z$3,IF(D109&lt;$Y$4,($Z$4-D109)+($AB$1-(F109-E109))+(I109-$Z$8)+(S109-R109),IF(AND(S109&lt;&gt;"",D109&gt;$Z$4),(S109-R109)-($AB$1-(F109-E109)),IF(AND(S109&lt;&gt;"",D109&lt;$Y$4),(S109-R109)-($AB$1-(F109-E109)+($Z$4-D109)),IF(I109&gt;$Z$8,($AB$1-(F109-E109))+(I109-$Z$8),IF(AND(N109="Sex",(F109-E109)&lt;($AB$1-$W$1)),($AB$1-(F109-E109)),IF(AND(O109&gt;($AB$1-$W$1),D109&gt;$Z$4),"",IF(AND(B109&gt;=$T$1,(F109-E109)&gt;($AB$1-$W$1)),"",IF(AND(D109&gt;=$Y$4,I109=$Z$8,S109=""),($AB$1-(F109-E109)),IF(AND(P109&lt;&gt;"",S109&lt;&gt;""),I109-$Z$8,IF(AND(P109&lt;&gt;"",D109&gt;$Y$4),$AB$1-(F109-E109),"")))))))))))))))))</f>
        <v/>
      </c>
      <c r="M109" s="107" t="str">
        <f>IFERROR(IF(H109="","",IF(B109=VLOOKUP(B109,Feriados[],2,0),(H109-D109)-(G109-E109),"")),"")</f>
        <v/>
      </c>
      <c r="N109" s="38" t="str">
        <f t="shared" si="8"/>
        <v>Qua</v>
      </c>
      <c r="O109" s="112">
        <f t="shared" si="9"/>
        <v>3.8194444444444475E-2</v>
      </c>
      <c r="P109" s="113" t="str">
        <f>IF(B109=_xlfn.XLOOKUP(B109,Feriados[FE Oficial],Feriados[FE Talvez],"",0),"",IF(B109&lt;$T$1,"",IF(Q109="Consulta","",IF(Q109="Compensado","",IF(N109="Sáb","",IF(S109&lt;&gt;"",(S109-R109)-(($AB$1-O109)-(D109-$Z$4)),IF(O109&gt;$AB$1,O109-$AB$1,IF(C109&gt;$Z$4,C109-$Z$4,IF(AND(N109="Sex",G109&lt;&gt;"",H109=""),$Z$3-G109,IF(AND(G109&lt;&gt;"",H109=""),$Z$3-G109,IF(AND(N109="Sex",H109&lt;$Y$3),$Z$3-H109,IF(AND(N109&lt;&gt;"Sex",H109&gt;$AA$8),"",IF(AND(N109="Sex",H109&gt;$Z$8),"",IF(AND(N109&lt;&gt;"Sex",I109&gt;$Z$8),$Z$8-H109,IF(AND(N109&lt;&gt;"Sex",H109&lt;$Y$8),$Z$8-H109,"")))))))))))))))</f>
        <v/>
      </c>
      <c r="Q109" s="33"/>
      <c r="R109" s="33"/>
      <c r="S109" s="33"/>
    </row>
    <row r="110" spans="1:19" x14ac:dyDescent="0.25">
      <c r="A110" s="116" t="s">
        <v>175</v>
      </c>
      <c r="B110" s="32">
        <v>43833</v>
      </c>
      <c r="C110" s="39">
        <f t="shared" si="5"/>
        <v>0.33333333333333331</v>
      </c>
      <c r="D110" s="33">
        <v>0.32569444444444445</v>
      </c>
      <c r="E110" s="33">
        <v>0.5</v>
      </c>
      <c r="F110" s="39">
        <f t="shared" si="6"/>
        <v>0.54166666666666663</v>
      </c>
      <c r="G110" s="33">
        <v>0.54166666666666663</v>
      </c>
      <c r="H110" s="33">
        <v>0.75</v>
      </c>
      <c r="I110" s="39">
        <f>IFERROR(IF(B110=VLOOKUP(B110,Feriados[],2,0),H110,IF(N110="Sáb",H110,IF(AND(B110&lt;$T$1,H110&lt;=$AA$3),$Z$3,IF(AND(N110="Sex",H110&gt;$AA$3),H110,IF(H110&lt;=$AA$3,$Z$3,IF(H110&lt;=$AA$8,$Z$8,H110)))))),IF(N110="Sáb",H110,IF(AND(B110&lt;$T$1,H110&lt;=$AA$3),$Z$3,IF(AND(N110="Sex",H110&gt;$AA$3),H110,IF(H110&lt;=$AA$3,$Z$3,IF(H110&lt;=$AA$8,$Z$8,H110))))))</f>
        <v>0.75</v>
      </c>
      <c r="J110" s="33">
        <f t="shared" si="7"/>
        <v>0.375</v>
      </c>
      <c r="K110" s="33">
        <f>IFERROR(IF(H110="","",IF(B110=VLOOKUP(B110,Feriados[],2,0),(H110-D110)-(G110-E110),IF(D110&lt;=$Y$4,(I110-D110)-(G110-E110),(I110-C110)-(F110-E110)))),IF(AND(D110&lt;=$Y$4,F110-E110=$AB$1),(I110-D110)-(F110-E110),IF(D110&lt;$Y$4,(I110-D110)-(G110-E110),(I110-C110)-(F110-E110))))</f>
        <v>0.38263888888888892</v>
      </c>
      <c r="L110" s="40">
        <f>IF(B110=_xlfn.XLOOKUP(B110,Feriados[FE Oficial],Feriados[FE Talvez],"",0),"",IF(Q110="Compensado","",IF(AND(N110="Sex",D110&lt;$Y$4),($Z$4-D110)+$AB$1-(F110-E110)+(I110-$Z$3),IF(AND(N110="Sex",I110&gt;$Z$3),($AB$1-(F110-E110))+(I110-$Z$3),IF(AND(N110="Sex",E110&lt;&gt;"",D110&lt;$Y$4),($Z$4-D110)+$AB$1-(F110-E110)+(I110-$Z$3),IF(N110="Sáb",(I110-D110)-(G110-E110)-(S110-R110),IF(AND(B110&lt;$T$1,I110&gt;$Z$3),H110-$Z$3,IF(D110&lt;$Y$4,($Z$4-D110)+($AB$1-(F110-E110))+(I110-$Z$8)+(S110-R110),IF(AND(S110&lt;&gt;"",D110&gt;$Z$4),(S110-R110)-($AB$1-(F110-E110)),IF(AND(S110&lt;&gt;"",D110&lt;$Y$4),(S110-R110)-($AB$1-(F110-E110)+($Z$4-D110)),IF(I110&gt;$Z$8,($AB$1-(F110-E110))+(I110-$Z$8),IF(AND(N110="Sex",(F110-E110)&lt;($AB$1-$W$1)),($AB$1-(F110-E110)),IF(AND(O110&gt;($AB$1-$W$1),D110&gt;$Z$4),"",IF(AND(B110&gt;=$T$1,(F110-E110)&gt;($AB$1-$W$1)),"",IF(AND(D110&gt;=$Y$4,I110=$Z$8,S110=""),($AB$1-(F110-E110)),IF(AND(P110&lt;&gt;"",S110&lt;&gt;""),I110-$Z$8,IF(AND(P110&lt;&gt;"",D110&gt;$Y$4),$AB$1-(F110-E110),"")))))))))))))))))</f>
        <v>7.6388888888888964E-3</v>
      </c>
      <c r="M110" s="107" t="str">
        <f>IFERROR(IF(H110="","",IF(B110=VLOOKUP(B110,Feriados[],2,0),(H110-D110)-(G110-E110),"")),"")</f>
        <v/>
      </c>
      <c r="N110" s="38" t="str">
        <f t="shared" si="8"/>
        <v>Qui</v>
      </c>
      <c r="O110" s="112">
        <f t="shared" si="9"/>
        <v>4.166666666666663E-2</v>
      </c>
      <c r="P110" s="113" t="str">
        <f>IF(B110=_xlfn.XLOOKUP(B110,Feriados[FE Oficial],Feriados[FE Talvez],"",0),"",IF(B110&lt;$T$1,"",IF(Q110="Consulta","",IF(Q110="Compensado","",IF(N110="Sáb","",IF(S110&lt;&gt;"",(S110-R110)-(($AB$1-O110)-(D110-$Z$4)),IF(O110&gt;$AB$1,O110-$AB$1,IF(C110&gt;$Z$4,C110-$Z$4,IF(AND(N110="Sex",G110&lt;&gt;"",H110=""),$Z$3-G110,IF(AND(G110&lt;&gt;"",H110=""),$Z$3-G110,IF(AND(N110="Sex",H110&lt;$Y$3),$Z$3-H110,IF(AND(N110&lt;&gt;"Sex",H110&gt;$AA$8),"",IF(AND(N110="Sex",H110&gt;$Z$8),"",IF(AND(N110&lt;&gt;"Sex",I110&gt;$Z$8),$Z$8-H110,IF(AND(N110&lt;&gt;"Sex",H110&lt;$Y$8),$Z$8-H110,"")))))))))))))))</f>
        <v/>
      </c>
      <c r="Q110" s="33"/>
      <c r="R110" s="33"/>
      <c r="S110" s="33"/>
    </row>
    <row r="111" spans="1:19" x14ac:dyDescent="0.25">
      <c r="A111" s="116" t="s">
        <v>190</v>
      </c>
      <c r="B111" s="32">
        <v>43833</v>
      </c>
      <c r="C111" s="39">
        <f t="shared" si="5"/>
        <v>0.33333333333333331</v>
      </c>
      <c r="D111" s="33">
        <v>0.32569444444444445</v>
      </c>
      <c r="E111" s="33">
        <v>0.4826388888888889</v>
      </c>
      <c r="F111" s="39">
        <f t="shared" si="6"/>
        <v>0.52430555555555558</v>
      </c>
      <c r="G111" s="33">
        <v>0.52222222222222225</v>
      </c>
      <c r="H111" s="33">
        <v>0.75</v>
      </c>
      <c r="I111" s="39">
        <f>IFERROR(IF(B111=VLOOKUP(B111,Feriados[],2,0),H111,IF(N111="Sáb",H111,IF(AND(B111&lt;$T$1,H111&lt;=$AA$3),$Z$3,IF(AND(N111="Sex",H111&gt;$AA$3),H111,IF(H111&lt;=$AA$3,$Z$3,IF(H111&lt;=$AA$8,$Z$8,H111)))))),IF(N111="Sáb",H111,IF(AND(B111&lt;$T$1,H111&lt;=$AA$3),$Z$3,IF(AND(N111="Sex",H111&gt;$AA$3),H111,IF(H111&lt;=$AA$3,$Z$3,IF(H111&lt;=$AA$8,$Z$8,H111))))))</f>
        <v>0.75</v>
      </c>
      <c r="J111" s="33">
        <f t="shared" si="7"/>
        <v>0.375</v>
      </c>
      <c r="K111" s="33">
        <f>IFERROR(IF(H111="","",IF(B111=VLOOKUP(B111,Feriados[],2,0),(H111-D111)-(G111-E111),IF(D111&lt;=$Y$4,(I111-D111)-(G111-E111),(I111-C111)-(F111-E111)))),IF(AND(D111&lt;=$Y$4,F111-E111=$AB$1),(I111-D111)-(F111-E111),IF(D111&lt;$Y$4,(I111-D111)-(G111-E111),(I111-C111)-(F111-E111))))</f>
        <v>0.38263888888888886</v>
      </c>
      <c r="L111" s="40">
        <f>IF(B111=_xlfn.XLOOKUP(B111,Feriados[FE Oficial],Feriados[FE Talvez],"",0),"",IF(Q111="Compensado","",IF(AND(N111="Sex",D111&lt;$Y$4),($Z$4-D111)+$AB$1-(F111-E111)+(I111-$Z$3),IF(AND(N111="Sex",I111&gt;$Z$3),($AB$1-(F111-E111))+(I111-$Z$3),IF(AND(N111="Sex",E111&lt;&gt;"",D111&lt;$Y$4),($Z$4-D111)+$AB$1-(F111-E111)+(I111-$Z$3),IF(N111="Sáb",(I111-D111)-(G111-E111)-(S111-R111),IF(AND(B111&lt;$T$1,I111&gt;$Z$3),H111-$Z$3,IF(D111&lt;$Y$4,($Z$4-D111)+($AB$1-(F111-E111))+(I111-$Z$8)+(S111-R111),IF(AND(S111&lt;&gt;"",D111&gt;$Z$4),(S111-R111)-($AB$1-(F111-E111)),IF(AND(S111&lt;&gt;"",D111&lt;$Y$4),(S111-R111)-($AB$1-(F111-E111)+($Z$4-D111)),IF(I111&gt;$Z$8,($AB$1-(F111-E111))+(I111-$Z$8),IF(AND(N111="Sex",(F111-E111)&lt;($AB$1-$W$1)),($AB$1-(F111-E111)),IF(AND(O111&gt;($AB$1-$W$1),D111&gt;$Z$4),"",IF(AND(B111&gt;=$T$1,(F111-E111)&gt;($AB$1-$W$1)),"",IF(AND(D111&gt;=$Y$4,I111=$Z$8,S111=""),($AB$1-(F111-E111)),IF(AND(P111&lt;&gt;"",S111&lt;&gt;""),I111-$Z$8,IF(AND(P111&lt;&gt;"",D111&gt;$Y$4),$AB$1-(F111-E111),"")))))))))))))))))</f>
        <v>7.6388888888888409E-3</v>
      </c>
      <c r="M111" s="107" t="str">
        <f>IFERROR(IF(H111="","",IF(B111=VLOOKUP(B111,Feriados[],2,0),(H111-D111)-(G111-E111),"")),"")</f>
        <v/>
      </c>
      <c r="N111" s="38" t="str">
        <f t="shared" si="8"/>
        <v>Qui</v>
      </c>
      <c r="O111" s="112">
        <f t="shared" si="9"/>
        <v>3.9583333333333359E-2</v>
      </c>
      <c r="P111" s="113" t="str">
        <f>IF(B111=_xlfn.XLOOKUP(B111,Feriados[FE Oficial],Feriados[FE Talvez],"",0),"",IF(B111&lt;$T$1,"",IF(Q111="Consulta","",IF(Q111="Compensado","",IF(N111="Sáb","",IF(S111&lt;&gt;"",(S111-R111)-(($AB$1-O111)-(D111-$Z$4)),IF(O111&gt;$AB$1,O111-$AB$1,IF(C111&gt;$Z$4,C111-$Z$4,IF(AND(N111="Sex",G111&lt;&gt;"",H111=""),$Z$3-G111,IF(AND(G111&lt;&gt;"",H111=""),$Z$3-G111,IF(AND(N111="Sex",H111&lt;$Y$3),$Z$3-H111,IF(AND(N111&lt;&gt;"Sex",H111&gt;$AA$8),"",IF(AND(N111="Sex",H111&gt;$Z$8),"",IF(AND(N111&lt;&gt;"Sex",I111&gt;$Z$8),$Z$8-H111,IF(AND(N111&lt;&gt;"Sex",H111&lt;$Y$8),$Z$8-H111,"")))))))))))))))</f>
        <v/>
      </c>
      <c r="Q111" s="33"/>
      <c r="R111" s="33"/>
      <c r="S111" s="33"/>
    </row>
    <row r="112" spans="1:19" x14ac:dyDescent="0.25">
      <c r="A112" s="116" t="s">
        <v>197</v>
      </c>
      <c r="B112" s="32">
        <v>43833</v>
      </c>
      <c r="C112" s="39">
        <f t="shared" si="5"/>
        <v>0.33333333333333331</v>
      </c>
      <c r="D112" s="33">
        <v>0.33333333333333331</v>
      </c>
      <c r="E112" s="33">
        <v>0.4826388888888889</v>
      </c>
      <c r="F112" s="39">
        <f t="shared" si="6"/>
        <v>0.52430555555555558</v>
      </c>
      <c r="G112" s="33">
        <v>0.52083333333333337</v>
      </c>
      <c r="H112" s="33">
        <v>0.75</v>
      </c>
      <c r="I112" s="39">
        <f>IFERROR(IF(B112=VLOOKUP(B112,Feriados[],2,0),H112,IF(N112="Sáb",H112,IF(AND(B112&lt;$T$1,H112&lt;=$AA$3),$Z$3,IF(AND(N112="Sex",H112&gt;$AA$3),H112,IF(H112&lt;=$AA$3,$Z$3,IF(H112&lt;=$AA$8,$Z$8,H112)))))),IF(N112="Sáb",H112,IF(AND(B112&lt;$T$1,H112&lt;=$AA$3),$Z$3,IF(AND(N112="Sex",H112&gt;$AA$3),H112,IF(H112&lt;=$AA$3,$Z$3,IF(H112&lt;=$AA$8,$Z$8,H112))))))</f>
        <v>0.75</v>
      </c>
      <c r="J112" s="33">
        <f t="shared" si="7"/>
        <v>0.375</v>
      </c>
      <c r="K112" s="33">
        <f>IFERROR(IF(H112="","",IF(B112=VLOOKUP(B112,Feriados[],2,0),(H112-D112)-(G112-E112),IF(D112&lt;=$Y$4,(I112-D112)-(G112-E112),(I112-C112)-(F112-E112)))),IF(AND(D112&lt;=$Y$4,F112-E112=$AB$1),(I112-D112)-(F112-E112),IF(D112&lt;$Y$4,(I112-D112)-(G112-E112),(I112-C112)-(F112-E112))))</f>
        <v>0.375</v>
      </c>
      <c r="L112" s="40" t="str">
        <f>IF(B112=_xlfn.XLOOKUP(B112,Feriados[FE Oficial],Feriados[FE Talvez],"",0),"",IF(Q112="Compensado","",IF(AND(N112="Sex",D112&lt;$Y$4),($Z$4-D112)+$AB$1-(F112-E112)+(I112-$Z$3),IF(AND(N112="Sex",I112&gt;$Z$3),($AB$1-(F112-E112))+(I112-$Z$3),IF(AND(N112="Sex",E112&lt;&gt;"",D112&lt;$Y$4),($Z$4-D112)+$AB$1-(F112-E112)+(I112-$Z$3),IF(N112="Sáb",(I112-D112)-(G112-E112)-(S112-R112),IF(AND(B112&lt;$T$1,I112&gt;$Z$3),H112-$Z$3,IF(D112&lt;$Y$4,($Z$4-D112)+($AB$1-(F112-E112))+(I112-$Z$8)+(S112-R112),IF(AND(S112&lt;&gt;"",D112&gt;$Z$4),(S112-R112)-($AB$1-(F112-E112)),IF(AND(S112&lt;&gt;"",D112&lt;$Y$4),(S112-R112)-($AB$1-(F112-E112)+($Z$4-D112)),IF(I112&gt;$Z$8,($AB$1-(F112-E112))+(I112-$Z$8),IF(AND(N112="Sex",(F112-E112)&lt;($AB$1-$W$1)),($AB$1-(F112-E112)),IF(AND(O112&gt;($AB$1-$W$1),D112&gt;$Z$4),"",IF(AND(B112&gt;=$T$1,(F112-E112)&gt;($AB$1-$W$1)),"",IF(AND(D112&gt;=$Y$4,I112=$Z$8,S112=""),($AB$1-(F112-E112)),IF(AND(P112&lt;&gt;"",S112&lt;&gt;""),I112-$Z$8,IF(AND(P112&lt;&gt;"",D112&gt;$Y$4),$AB$1-(F112-E112),"")))))))))))))))))</f>
        <v/>
      </c>
      <c r="M112" s="107" t="str">
        <f>IFERROR(IF(H112="","",IF(B112=VLOOKUP(B112,Feriados[],2,0),(H112-D112)-(G112-E112),"")),"")</f>
        <v/>
      </c>
      <c r="N112" s="38" t="str">
        <f t="shared" si="8"/>
        <v>Qui</v>
      </c>
      <c r="O112" s="112">
        <f t="shared" si="9"/>
        <v>3.8194444444444475E-2</v>
      </c>
      <c r="P112" s="113" t="str">
        <f>IF(B112=_xlfn.XLOOKUP(B112,Feriados[FE Oficial],Feriados[FE Talvez],"",0),"",IF(B112&lt;$T$1,"",IF(Q112="Consulta","",IF(Q112="Compensado","",IF(N112="Sáb","",IF(S112&lt;&gt;"",(S112-R112)-(($AB$1-O112)-(D112-$Z$4)),IF(O112&gt;$AB$1,O112-$AB$1,IF(C112&gt;$Z$4,C112-$Z$4,IF(AND(N112="Sex",G112&lt;&gt;"",H112=""),$Z$3-G112,IF(AND(G112&lt;&gt;"",H112=""),$Z$3-G112,IF(AND(N112="Sex",H112&lt;$Y$3),$Z$3-H112,IF(AND(N112&lt;&gt;"Sex",H112&gt;$AA$8),"",IF(AND(N112="Sex",H112&gt;$Z$8),"",IF(AND(N112&lt;&gt;"Sex",I112&gt;$Z$8),$Z$8-H112,IF(AND(N112&lt;&gt;"Sex",H112&lt;$Y$8),$Z$8-H112,"")))))))))))))))</f>
        <v/>
      </c>
      <c r="Q112" s="33"/>
      <c r="R112" s="33"/>
      <c r="S112" s="33"/>
    </row>
    <row r="113" spans="1:19" x14ac:dyDescent="0.25">
      <c r="A113" s="116" t="s">
        <v>191</v>
      </c>
      <c r="B113" s="32">
        <v>43833</v>
      </c>
      <c r="C113" s="39">
        <f t="shared" si="5"/>
        <v>0.33333333333333331</v>
      </c>
      <c r="D113" s="33">
        <v>0.32569444444444445</v>
      </c>
      <c r="E113" s="33">
        <v>0.5</v>
      </c>
      <c r="F113" s="39">
        <f t="shared" si="6"/>
        <v>0.54166666666666663</v>
      </c>
      <c r="G113" s="33">
        <v>0.54166666666666663</v>
      </c>
      <c r="H113" s="33">
        <v>0.75</v>
      </c>
      <c r="I113" s="39">
        <f>IFERROR(IF(B113=VLOOKUP(B113,Feriados[],2,0),H113,IF(N113="Sáb",H113,IF(AND(B113&lt;$T$1,H113&lt;=$AA$3),$Z$3,IF(AND(N113="Sex",H113&gt;$AA$3),H113,IF(H113&lt;=$AA$3,$Z$3,IF(H113&lt;=$AA$8,$Z$8,H113)))))),IF(N113="Sáb",H113,IF(AND(B113&lt;$T$1,H113&lt;=$AA$3),$Z$3,IF(AND(N113="Sex",H113&gt;$AA$3),H113,IF(H113&lt;=$AA$3,$Z$3,IF(H113&lt;=$AA$8,$Z$8,H113))))))</f>
        <v>0.75</v>
      </c>
      <c r="J113" s="33">
        <f t="shared" si="7"/>
        <v>0.375</v>
      </c>
      <c r="K113" s="33">
        <f>IFERROR(IF(H113="","",IF(B113=VLOOKUP(B113,Feriados[],2,0),(H113-D113)-(G113-E113),IF(D113&lt;=$Y$4,(I113-D113)-(G113-E113),(I113-C113)-(F113-E113)))),IF(AND(D113&lt;=$Y$4,F113-E113=$AB$1),(I113-D113)-(F113-E113),IF(D113&lt;$Y$4,(I113-D113)-(G113-E113),(I113-C113)-(F113-E113))))</f>
        <v>0.38263888888888892</v>
      </c>
      <c r="L113" s="40">
        <f>IF(B113=_xlfn.XLOOKUP(B113,Feriados[FE Oficial],Feriados[FE Talvez],"",0),"",IF(Q113="Compensado","",IF(AND(N113="Sex",D113&lt;$Y$4),($Z$4-D113)+$AB$1-(F113-E113)+(I113-$Z$3),IF(AND(N113="Sex",I113&gt;$Z$3),($AB$1-(F113-E113))+(I113-$Z$3),IF(AND(N113="Sex",E113&lt;&gt;"",D113&lt;$Y$4),($Z$4-D113)+$AB$1-(F113-E113)+(I113-$Z$3),IF(N113="Sáb",(I113-D113)-(G113-E113)-(S113-R113),IF(AND(B113&lt;$T$1,I113&gt;$Z$3),H113-$Z$3,IF(D113&lt;$Y$4,($Z$4-D113)+($AB$1-(F113-E113))+(I113-$Z$8)+(S113-R113),IF(AND(S113&lt;&gt;"",D113&gt;$Z$4),(S113-R113)-($AB$1-(F113-E113)),IF(AND(S113&lt;&gt;"",D113&lt;$Y$4),(S113-R113)-($AB$1-(F113-E113)+($Z$4-D113)),IF(I113&gt;$Z$8,($AB$1-(F113-E113))+(I113-$Z$8),IF(AND(N113="Sex",(F113-E113)&lt;($AB$1-$W$1)),($AB$1-(F113-E113)),IF(AND(O113&gt;($AB$1-$W$1),D113&gt;$Z$4),"",IF(AND(B113&gt;=$T$1,(F113-E113)&gt;($AB$1-$W$1)),"",IF(AND(D113&gt;=$Y$4,I113=$Z$8,S113=""),($AB$1-(F113-E113)),IF(AND(P113&lt;&gt;"",S113&lt;&gt;""),I113-$Z$8,IF(AND(P113&lt;&gt;"",D113&gt;$Y$4),$AB$1-(F113-E113),"")))))))))))))))))</f>
        <v>7.6388888888888964E-3</v>
      </c>
      <c r="M113" s="107" t="str">
        <f>IFERROR(IF(H113="","",IF(B113=VLOOKUP(B113,Feriados[],2,0),(H113-D113)-(G113-E113),"")),"")</f>
        <v/>
      </c>
      <c r="N113" s="38" t="str">
        <f t="shared" si="8"/>
        <v>Qui</v>
      </c>
      <c r="O113" s="112">
        <f t="shared" si="9"/>
        <v>4.166666666666663E-2</v>
      </c>
      <c r="P113" s="113" t="str">
        <f>IF(B113=_xlfn.XLOOKUP(B113,Feriados[FE Oficial],Feriados[FE Talvez],"",0),"",IF(B113&lt;$T$1,"",IF(Q113="Consulta","",IF(Q113="Compensado","",IF(N113="Sáb","",IF(S113&lt;&gt;"",(S113-R113)-(($AB$1-O113)-(D113-$Z$4)),IF(O113&gt;$AB$1,O113-$AB$1,IF(C113&gt;$Z$4,C113-$Z$4,IF(AND(N113="Sex",G113&lt;&gt;"",H113=""),$Z$3-G113,IF(AND(G113&lt;&gt;"",H113=""),$Z$3-G113,IF(AND(N113="Sex",H113&lt;$Y$3),$Z$3-H113,IF(AND(N113&lt;&gt;"Sex",H113&gt;$AA$8),"",IF(AND(N113="Sex",H113&gt;$Z$8),"",IF(AND(N113&lt;&gt;"Sex",I113&gt;$Z$8),$Z$8-H113,IF(AND(N113&lt;&gt;"Sex",H113&lt;$Y$8),$Z$8-H113,"")))))))))))))))</f>
        <v/>
      </c>
      <c r="Q113" s="33"/>
      <c r="R113" s="33"/>
      <c r="S113" s="33"/>
    </row>
    <row r="114" spans="1:19" x14ac:dyDescent="0.25">
      <c r="A114" s="116" t="s">
        <v>194</v>
      </c>
      <c r="B114" s="32">
        <v>43833</v>
      </c>
      <c r="C114" s="39">
        <f t="shared" si="5"/>
        <v>0.33333333333333331</v>
      </c>
      <c r="D114" s="33">
        <v>0.29166666666666669</v>
      </c>
      <c r="E114" s="33">
        <v>0.5</v>
      </c>
      <c r="F114" s="39">
        <f t="shared" si="6"/>
        <v>0.54166666666666663</v>
      </c>
      <c r="G114" s="33">
        <v>0.54166666666666663</v>
      </c>
      <c r="H114" s="33">
        <v>0.75</v>
      </c>
      <c r="I114" s="39">
        <f>IFERROR(IF(B114=VLOOKUP(B114,Feriados[],2,0),H114,IF(N114="Sáb",H114,IF(AND(B114&lt;$T$1,H114&lt;=$AA$3),$Z$3,IF(AND(N114="Sex",H114&gt;$AA$3),H114,IF(H114&lt;=$AA$3,$Z$3,IF(H114&lt;=$AA$8,$Z$8,H114)))))),IF(N114="Sáb",H114,IF(AND(B114&lt;$T$1,H114&lt;=$AA$3),$Z$3,IF(AND(N114="Sex",H114&gt;$AA$3),H114,IF(H114&lt;=$AA$3,$Z$3,IF(H114&lt;=$AA$8,$Z$8,H114))))))</f>
        <v>0.75</v>
      </c>
      <c r="J114" s="33">
        <f t="shared" si="7"/>
        <v>0.375</v>
      </c>
      <c r="K114" s="33">
        <f>IFERROR(IF(H114="","",IF(B114=VLOOKUP(B114,Feriados[],2,0),(H114-D114)-(G114-E114),IF(D114&lt;=$Y$4,(I114-D114)-(G114-E114),(I114-C114)-(F114-E114)))),IF(AND(D114&lt;=$Y$4,F114-E114=$AB$1),(I114-D114)-(F114-E114),IF(D114&lt;$Y$4,(I114-D114)-(G114-E114),(I114-C114)-(F114-E114))))</f>
        <v>0.41666666666666669</v>
      </c>
      <c r="L114" s="40">
        <f>IF(B114=_xlfn.XLOOKUP(B114,Feriados[FE Oficial],Feriados[FE Talvez],"",0),"",IF(Q114="Compensado","",IF(AND(N114="Sex",D114&lt;$Y$4),($Z$4-D114)+$AB$1-(F114-E114)+(I114-$Z$3),IF(AND(N114="Sex",I114&gt;$Z$3),($AB$1-(F114-E114))+(I114-$Z$3),IF(AND(N114="Sex",E114&lt;&gt;"",D114&lt;$Y$4),($Z$4-D114)+$AB$1-(F114-E114)+(I114-$Z$3),IF(N114="Sáb",(I114-D114)-(G114-E114)-(S114-R114),IF(AND(B114&lt;$T$1,I114&gt;$Z$3),H114-$Z$3,IF(D114&lt;$Y$4,($Z$4-D114)+($AB$1-(F114-E114))+(I114-$Z$8)+(S114-R114),IF(AND(S114&lt;&gt;"",D114&gt;$Z$4),(S114-R114)-($AB$1-(F114-E114)),IF(AND(S114&lt;&gt;"",D114&lt;$Y$4),(S114-R114)-($AB$1-(F114-E114)+($Z$4-D114)),IF(I114&gt;$Z$8,($AB$1-(F114-E114))+(I114-$Z$8),IF(AND(N114="Sex",(F114-E114)&lt;($AB$1-$W$1)),($AB$1-(F114-E114)),IF(AND(O114&gt;($AB$1-$W$1),D114&gt;$Z$4),"",IF(AND(B114&gt;=$T$1,(F114-E114)&gt;($AB$1-$W$1)),"",IF(AND(D114&gt;=$Y$4,I114=$Z$8,S114=""),($AB$1-(F114-E114)),IF(AND(P114&lt;&gt;"",S114&lt;&gt;""),I114-$Z$8,IF(AND(P114&lt;&gt;"",D114&gt;$Y$4),$AB$1-(F114-E114),"")))))))))))))))))</f>
        <v>4.1666666666666664E-2</v>
      </c>
      <c r="M114" s="107" t="str">
        <f>IFERROR(IF(H114="","",IF(B114=VLOOKUP(B114,Feriados[],2,0),(H114-D114)-(G114-E114),"")),"")</f>
        <v/>
      </c>
      <c r="N114" s="38" t="str">
        <f t="shared" si="8"/>
        <v>Qui</v>
      </c>
      <c r="O114" s="112">
        <f t="shared" si="9"/>
        <v>4.166666666666663E-2</v>
      </c>
      <c r="P114" s="113" t="str">
        <f>IF(B114=_xlfn.XLOOKUP(B114,Feriados[FE Oficial],Feriados[FE Talvez],"",0),"",IF(B114&lt;$T$1,"",IF(Q114="Consulta","",IF(Q114="Compensado","",IF(N114="Sáb","",IF(S114&lt;&gt;"",(S114-R114)-(($AB$1-O114)-(D114-$Z$4)),IF(O114&gt;$AB$1,O114-$AB$1,IF(C114&gt;$Z$4,C114-$Z$4,IF(AND(N114="Sex",G114&lt;&gt;"",H114=""),$Z$3-G114,IF(AND(G114&lt;&gt;"",H114=""),$Z$3-G114,IF(AND(N114="Sex",H114&lt;$Y$3),$Z$3-H114,IF(AND(N114&lt;&gt;"Sex",H114&gt;$AA$8),"",IF(AND(N114="Sex",H114&gt;$Z$8),"",IF(AND(N114&lt;&gt;"Sex",I114&gt;$Z$8),$Z$8-H114,IF(AND(N114&lt;&gt;"Sex",H114&lt;$Y$8),$Z$8-H114,"")))))))))))))))</f>
        <v/>
      </c>
      <c r="Q114" s="33"/>
      <c r="R114" s="33"/>
      <c r="S114" s="33"/>
    </row>
    <row r="115" spans="1:19" x14ac:dyDescent="0.25">
      <c r="A115" s="116" t="s">
        <v>182</v>
      </c>
      <c r="B115" s="32">
        <v>43833</v>
      </c>
      <c r="C115" s="39">
        <f t="shared" si="5"/>
        <v>0.33333333333333331</v>
      </c>
      <c r="D115" s="33">
        <v>0.33333333333333331</v>
      </c>
      <c r="E115" s="33">
        <v>0.5</v>
      </c>
      <c r="F115" s="39">
        <f t="shared" si="6"/>
        <v>0.54166666666666663</v>
      </c>
      <c r="G115" s="33">
        <v>0.54166666666666663</v>
      </c>
      <c r="H115" s="33">
        <v>0.75</v>
      </c>
      <c r="I115" s="39">
        <f>IFERROR(IF(B115=VLOOKUP(B115,Feriados[],2,0),H115,IF(N115="Sáb",H115,IF(AND(B115&lt;$T$1,H115&lt;=$AA$3),$Z$3,IF(AND(N115="Sex",H115&gt;$AA$3),H115,IF(H115&lt;=$AA$3,$Z$3,IF(H115&lt;=$AA$8,$Z$8,H115)))))),IF(N115="Sáb",H115,IF(AND(B115&lt;$T$1,H115&lt;=$AA$3),$Z$3,IF(AND(N115="Sex",H115&gt;$AA$3),H115,IF(H115&lt;=$AA$3,$Z$3,IF(H115&lt;=$AA$8,$Z$8,H115))))))</f>
        <v>0.75</v>
      </c>
      <c r="J115" s="33">
        <f t="shared" si="7"/>
        <v>0.37500000000000006</v>
      </c>
      <c r="K115" s="33">
        <f>IFERROR(IF(H115="","",IF(B115=VLOOKUP(B115,Feriados[],2,0),(H115-D115)-(G115-E115),IF(D115&lt;=$Y$4,(I115-D115)-(G115-E115),(I115-C115)-(F115-E115)))),IF(AND(D115&lt;=$Y$4,F115-E115=$AB$1),(I115-D115)-(F115-E115),IF(D115&lt;$Y$4,(I115-D115)-(G115-E115),(I115-C115)-(F115-E115))))</f>
        <v>0.37500000000000006</v>
      </c>
      <c r="L115" s="40" t="str">
        <f>IF(B115=_xlfn.XLOOKUP(B115,Feriados[FE Oficial],Feriados[FE Talvez],"",0),"",IF(Q115="Compensado","",IF(AND(N115="Sex",D115&lt;$Y$4),($Z$4-D115)+$AB$1-(F115-E115)+(I115-$Z$3),IF(AND(N115="Sex",I115&gt;$Z$3),($AB$1-(F115-E115))+(I115-$Z$3),IF(AND(N115="Sex",E115&lt;&gt;"",D115&lt;$Y$4),($Z$4-D115)+$AB$1-(F115-E115)+(I115-$Z$3),IF(N115="Sáb",(I115-D115)-(G115-E115)-(S115-R115),IF(AND(B115&lt;$T$1,I115&gt;$Z$3),H115-$Z$3,IF(D115&lt;$Y$4,($Z$4-D115)+($AB$1-(F115-E115))+(I115-$Z$8)+(S115-R115),IF(AND(S115&lt;&gt;"",D115&gt;$Z$4),(S115-R115)-($AB$1-(F115-E115)),IF(AND(S115&lt;&gt;"",D115&lt;$Y$4),(S115-R115)-($AB$1-(F115-E115)+($Z$4-D115)),IF(I115&gt;$Z$8,($AB$1-(F115-E115))+(I115-$Z$8),IF(AND(N115="Sex",(F115-E115)&lt;($AB$1-$W$1)),($AB$1-(F115-E115)),IF(AND(O115&gt;($AB$1-$W$1),D115&gt;$Z$4),"",IF(AND(B115&gt;=$T$1,(F115-E115)&gt;($AB$1-$W$1)),"",IF(AND(D115&gt;=$Y$4,I115=$Z$8,S115=""),($AB$1-(F115-E115)),IF(AND(P115&lt;&gt;"",S115&lt;&gt;""),I115-$Z$8,IF(AND(P115&lt;&gt;"",D115&gt;$Y$4),$AB$1-(F115-E115),"")))))))))))))))))</f>
        <v/>
      </c>
      <c r="M115" s="107" t="str">
        <f>IFERROR(IF(H115="","",IF(B115=VLOOKUP(B115,Feriados[],2,0),(H115-D115)-(G115-E115),"")),"")</f>
        <v/>
      </c>
      <c r="N115" s="38" t="str">
        <f t="shared" si="8"/>
        <v>Qui</v>
      </c>
      <c r="O115" s="112">
        <f t="shared" si="9"/>
        <v>4.166666666666663E-2</v>
      </c>
      <c r="P115" s="113" t="str">
        <f>IF(B115=_xlfn.XLOOKUP(B115,Feriados[FE Oficial],Feriados[FE Talvez],"",0),"",IF(B115&lt;$T$1,"",IF(Q115="Consulta","",IF(Q115="Compensado","",IF(N115="Sáb","",IF(S115&lt;&gt;"",(S115-R115)-(($AB$1-O115)-(D115-$Z$4)),IF(O115&gt;$AB$1,O115-$AB$1,IF(C115&gt;$Z$4,C115-$Z$4,IF(AND(N115="Sex",G115&lt;&gt;"",H115=""),$Z$3-G115,IF(AND(G115&lt;&gt;"",H115=""),$Z$3-G115,IF(AND(N115="Sex",H115&lt;$Y$3),$Z$3-H115,IF(AND(N115&lt;&gt;"Sex",H115&gt;$AA$8),"",IF(AND(N115="Sex",H115&gt;$Z$8),"",IF(AND(N115&lt;&gt;"Sex",I115&gt;$Z$8),$Z$8-H115,IF(AND(N115&lt;&gt;"Sex",H115&lt;$Y$8),$Z$8-H115,"")))))))))))))))</f>
        <v/>
      </c>
      <c r="Q115" s="33"/>
      <c r="R115" s="33"/>
      <c r="S115" s="33"/>
    </row>
    <row r="116" spans="1:19" x14ac:dyDescent="0.25">
      <c r="A116" s="116" t="s">
        <v>194</v>
      </c>
      <c r="B116" s="32">
        <v>43834</v>
      </c>
      <c r="C116" s="39">
        <f t="shared" si="5"/>
        <v>0.33333333333333331</v>
      </c>
      <c r="D116" s="33">
        <v>0.29166666666666669</v>
      </c>
      <c r="E116" s="33">
        <v>0.5</v>
      </c>
      <c r="F116" s="39">
        <f t="shared" si="6"/>
        <v>0.54166666666666663</v>
      </c>
      <c r="G116" s="33">
        <v>0.54166666666666663</v>
      </c>
      <c r="H116" s="33">
        <v>0.70833333333333337</v>
      </c>
      <c r="I116" s="39">
        <f>IFERROR(IF(B116=VLOOKUP(B116,Feriados[],2,0),H116,IF(N116="Sáb",H116,IF(AND(B116&lt;$T$1,H116&lt;=$AA$3),$Z$3,IF(AND(N116="Sex",H116&gt;$AA$3),H116,IF(H116&lt;=$AA$3,$Z$3,IF(H116&lt;=$AA$8,$Z$8,H116)))))),IF(N116="Sáb",H116,IF(AND(B116&lt;$T$1,H116&lt;=$AA$3),$Z$3,IF(AND(N116="Sex",H116&gt;$AA$3),H116,IF(H116&lt;=$AA$3,$Z$3,IF(H116&lt;=$AA$8,$Z$8,H116))))))</f>
        <v>0.70833333333333337</v>
      </c>
      <c r="J116" s="33">
        <f t="shared" si="7"/>
        <v>0.33333333333333331</v>
      </c>
      <c r="K116" s="33">
        <f>IFERROR(IF(H116="","",IF(B116=VLOOKUP(B116,Feriados[],2,0),(H116-D116)-(G116-E116),IF(D116&lt;=$Y$4,(I116-D116)-(G116-E116),(I116-C116)-(F116-E116)))),IF(AND(D116&lt;=$Y$4,F116-E116=$AB$1),(I116-D116)-(F116-E116),IF(D116&lt;$Y$4,(I116-D116)-(G116-E116),(I116-C116)-(F116-E116))))</f>
        <v>0.37500000000000006</v>
      </c>
      <c r="L116" s="40">
        <f>IF(B116=_xlfn.XLOOKUP(B116,Feriados[FE Oficial],Feriados[FE Talvez],"",0),"",IF(Q116="Compensado","",IF(AND(N116="Sex",D116&lt;$Y$4),($Z$4-D116)+$AB$1-(F116-E116)+(I116-$Z$3),IF(AND(N116="Sex",I116&gt;$Z$3),($AB$1-(F116-E116))+(I116-$Z$3),IF(AND(N116="Sex",E116&lt;&gt;"",D116&lt;$Y$4),($Z$4-D116)+$AB$1-(F116-E116)+(I116-$Z$3),IF(N116="Sáb",(I116-D116)-(G116-E116)-(S116-R116),IF(AND(B116&lt;$T$1,I116&gt;$Z$3),H116-$Z$3,IF(D116&lt;$Y$4,($Z$4-D116)+($AB$1-(F116-E116))+(I116-$Z$8)+(S116-R116),IF(AND(S116&lt;&gt;"",D116&gt;$Z$4),(S116-R116)-($AB$1-(F116-E116)),IF(AND(S116&lt;&gt;"",D116&lt;$Y$4),(S116-R116)-($AB$1-(F116-E116)+($Z$4-D116)),IF(I116&gt;$Z$8,($AB$1-(F116-E116))+(I116-$Z$8),IF(AND(N116="Sex",(F116-E116)&lt;($AB$1-$W$1)),($AB$1-(F116-E116)),IF(AND(O116&gt;($AB$1-$W$1),D116&gt;$Z$4),"",IF(AND(B116&gt;=$T$1,(F116-E116)&gt;($AB$1-$W$1)),"",IF(AND(D116&gt;=$Y$4,I116=$Z$8,S116=""),($AB$1-(F116-E116)),IF(AND(P116&lt;&gt;"",S116&lt;&gt;""),I116-$Z$8,IF(AND(P116&lt;&gt;"",D116&gt;$Y$4),$AB$1-(F116-E116),"")))))))))))))))))</f>
        <v>4.1666666666666657E-2</v>
      </c>
      <c r="M116" s="107" t="str">
        <f>IFERROR(IF(H116="","",IF(B116=VLOOKUP(B116,Feriados[],2,0),(H116-D116)-(G116-E116),"")),"")</f>
        <v/>
      </c>
      <c r="N116" s="38" t="str">
        <f t="shared" si="8"/>
        <v>Sex</v>
      </c>
      <c r="O116" s="112">
        <f t="shared" si="9"/>
        <v>4.166666666666663E-2</v>
      </c>
      <c r="P116" s="113" t="str">
        <f>IF(B116=_xlfn.XLOOKUP(B116,Feriados[FE Oficial],Feriados[FE Talvez],"",0),"",IF(B116&lt;$T$1,"",IF(Q116="Consulta","",IF(Q116="Compensado","",IF(N116="Sáb","",IF(S116&lt;&gt;"",(S116-R116)-(($AB$1-O116)-(D116-$Z$4)),IF(O116&gt;$AB$1,O116-$AB$1,IF(C116&gt;$Z$4,C116-$Z$4,IF(AND(N116="Sex",G116&lt;&gt;"",H116=""),$Z$3-G116,IF(AND(G116&lt;&gt;"",H116=""),$Z$3-G116,IF(AND(N116="Sex",H116&lt;$Y$3),$Z$3-H116,IF(AND(N116&lt;&gt;"Sex",H116&gt;$AA$8),"",IF(AND(N116="Sex",H116&gt;$Z$8),"",IF(AND(N116&lt;&gt;"Sex",I116&gt;$Z$8),$Z$8-H116,IF(AND(N116&lt;&gt;"Sex",H116&lt;$Y$8),$Z$8-H116,"")))))))))))))))</f>
        <v/>
      </c>
      <c r="Q116" s="33"/>
      <c r="R116" s="33"/>
      <c r="S116" s="33"/>
    </row>
    <row r="117" spans="1:19" x14ac:dyDescent="0.25">
      <c r="A117" s="116" t="s">
        <v>191</v>
      </c>
      <c r="B117" s="32">
        <v>43834</v>
      </c>
      <c r="C117" s="39">
        <f t="shared" si="5"/>
        <v>0.33333333333333331</v>
      </c>
      <c r="D117" s="33">
        <v>0.33333333333333331</v>
      </c>
      <c r="E117" s="33">
        <v>0.5</v>
      </c>
      <c r="F117" s="39">
        <f t="shared" si="6"/>
        <v>0.54166666666666663</v>
      </c>
      <c r="G117" s="33">
        <v>0.54166666666666663</v>
      </c>
      <c r="H117" s="33">
        <v>0.70833333333333337</v>
      </c>
      <c r="I117" s="39">
        <f>IFERROR(IF(B117=VLOOKUP(B117,Feriados[],2,0),H117,IF(N117="Sáb",H117,IF(AND(B117&lt;$T$1,H117&lt;=$AA$3),$Z$3,IF(AND(N117="Sex",H117&gt;$AA$3),H117,IF(H117&lt;=$AA$3,$Z$3,IF(H117&lt;=$AA$8,$Z$8,H117)))))),IF(N117="Sáb",H117,IF(AND(B117&lt;$T$1,H117&lt;=$AA$3),$Z$3,IF(AND(N117="Sex",H117&gt;$AA$3),H117,IF(H117&lt;=$AA$3,$Z$3,IF(H117&lt;=$AA$8,$Z$8,H117))))))</f>
        <v>0.70833333333333337</v>
      </c>
      <c r="J117" s="33">
        <f t="shared" si="7"/>
        <v>0.33333333333333343</v>
      </c>
      <c r="K117" s="33">
        <f>IFERROR(IF(H117="","",IF(B117=VLOOKUP(B117,Feriados[],2,0),(H117-D117)-(G117-E117),IF(D117&lt;=$Y$4,(I117-D117)-(G117-E117),(I117-C117)-(F117-E117)))),IF(AND(D117&lt;=$Y$4,F117-E117=$AB$1),(I117-D117)-(F117-E117),IF(D117&lt;$Y$4,(I117-D117)-(G117-E117),(I117-C117)-(F117-E117))))</f>
        <v>0.33333333333333343</v>
      </c>
      <c r="L117" s="40" t="str">
        <f>IF(B117=_xlfn.XLOOKUP(B117,Feriados[FE Oficial],Feriados[FE Talvez],"",0),"",IF(Q117="Compensado","",IF(AND(N117="Sex",D117&lt;$Y$4),($Z$4-D117)+$AB$1-(F117-E117)+(I117-$Z$3),IF(AND(N117="Sex",I117&gt;$Z$3),($AB$1-(F117-E117))+(I117-$Z$3),IF(AND(N117="Sex",E117&lt;&gt;"",D117&lt;$Y$4),($Z$4-D117)+$AB$1-(F117-E117)+(I117-$Z$3),IF(N117="Sáb",(I117-D117)-(G117-E117)-(S117-R117),IF(AND(B117&lt;$T$1,I117&gt;$Z$3),H117-$Z$3,IF(D117&lt;$Y$4,($Z$4-D117)+($AB$1-(F117-E117))+(I117-$Z$8)+(S117-R117),IF(AND(S117&lt;&gt;"",D117&gt;$Z$4),(S117-R117)-($AB$1-(F117-E117)),IF(AND(S117&lt;&gt;"",D117&lt;$Y$4),(S117-R117)-($AB$1-(F117-E117)+($Z$4-D117)),IF(I117&gt;$Z$8,($AB$1-(F117-E117))+(I117-$Z$8),IF(AND(N117="Sex",(F117-E117)&lt;($AB$1-$W$1)),($AB$1-(F117-E117)),IF(AND(O117&gt;($AB$1-$W$1),D117&gt;$Z$4),"",IF(AND(B117&gt;=$T$1,(F117-E117)&gt;($AB$1-$W$1)),"",IF(AND(D117&gt;=$Y$4,I117=$Z$8,S117=""),($AB$1-(F117-E117)),IF(AND(P117&lt;&gt;"",S117&lt;&gt;""),I117-$Z$8,IF(AND(P117&lt;&gt;"",D117&gt;$Y$4),$AB$1-(F117-E117),"")))))))))))))))))</f>
        <v/>
      </c>
      <c r="M117" s="107" t="str">
        <f>IFERROR(IF(H117="","",IF(B117=VLOOKUP(B117,Feriados[],2,0),(H117-D117)-(G117-E117),"")),"")</f>
        <v/>
      </c>
      <c r="N117" s="38" t="str">
        <f t="shared" si="8"/>
        <v>Sex</v>
      </c>
      <c r="O117" s="112">
        <f t="shared" si="9"/>
        <v>4.166666666666663E-2</v>
      </c>
      <c r="P117" s="113" t="str">
        <f>IF(B117=_xlfn.XLOOKUP(B117,Feriados[FE Oficial],Feriados[FE Talvez],"",0),"",IF(B117&lt;$T$1,"",IF(Q117="Consulta","",IF(Q117="Compensado","",IF(N117="Sáb","",IF(S117&lt;&gt;"",(S117-R117)-(($AB$1-O117)-(D117-$Z$4)),IF(O117&gt;$AB$1,O117-$AB$1,IF(C117&gt;$Z$4,C117-$Z$4,IF(AND(N117="Sex",G117&lt;&gt;"",H117=""),$Z$3-G117,IF(AND(G117&lt;&gt;"",H117=""),$Z$3-G117,IF(AND(N117="Sex",H117&lt;$Y$3),$Z$3-H117,IF(AND(N117&lt;&gt;"Sex",H117&gt;$AA$8),"",IF(AND(N117="Sex",H117&gt;$Z$8),"",IF(AND(N117&lt;&gt;"Sex",I117&gt;$Z$8),$Z$8-H117,IF(AND(N117&lt;&gt;"Sex",H117&lt;$Y$8),$Z$8-H117,"")))))))))))))))</f>
        <v/>
      </c>
      <c r="Q117" s="33"/>
      <c r="R117" s="33"/>
      <c r="S117" s="33"/>
    </row>
    <row r="118" spans="1:19" x14ac:dyDescent="0.25">
      <c r="A118" s="116" t="s">
        <v>197</v>
      </c>
      <c r="B118" s="32">
        <v>43834</v>
      </c>
      <c r="C118" s="39">
        <f t="shared" si="5"/>
        <v>0.33333333333333331</v>
      </c>
      <c r="D118" s="33">
        <v>0.33333333333333331</v>
      </c>
      <c r="E118" s="33">
        <v>0.4861111111111111</v>
      </c>
      <c r="F118" s="39">
        <f t="shared" si="6"/>
        <v>0.52083333333333337</v>
      </c>
      <c r="G118" s="33">
        <v>0.52083333333333337</v>
      </c>
      <c r="H118" s="33">
        <v>0.70833333333333337</v>
      </c>
      <c r="I118" s="39">
        <f>IFERROR(IF(B118=VLOOKUP(B118,Feriados[],2,0),H118,IF(N118="Sáb",H118,IF(AND(B118&lt;$T$1,H118&lt;=$AA$3),$Z$3,IF(AND(N118="Sex",H118&gt;$AA$3),H118,IF(H118&lt;=$AA$3,$Z$3,IF(H118&lt;=$AA$8,$Z$8,H118)))))),IF(N118="Sáb",H118,IF(AND(B118&lt;$T$1,H118&lt;=$AA$3),$Z$3,IF(AND(N118="Sex",H118&gt;$AA$3),H118,IF(H118&lt;=$AA$3,$Z$3,IF(H118&lt;=$AA$8,$Z$8,H118))))))</f>
        <v>0.70833333333333337</v>
      </c>
      <c r="J118" s="33">
        <f t="shared" si="7"/>
        <v>0.33333333333333331</v>
      </c>
      <c r="K118" s="33">
        <f>IFERROR(IF(H118="","",IF(B118=VLOOKUP(B118,Feriados[],2,0),(H118-D118)-(G118-E118),IF(D118&lt;=$Y$4,(I118-D118)-(G118-E118),(I118-C118)-(F118-E118)))),IF(AND(D118&lt;=$Y$4,F118-E118=$AB$1),(I118-D118)-(F118-E118),IF(D118&lt;$Y$4,(I118-D118)-(G118-E118),(I118-C118)-(F118-E118))))</f>
        <v>0.34027777777777779</v>
      </c>
      <c r="L118" s="40" t="str">
        <f>IF(B118=_xlfn.XLOOKUP(B118,Feriados[FE Oficial],Feriados[FE Talvez],"",0),"",IF(Q118="Compensado","",IF(AND(N118="Sex",D118&lt;$Y$4),($Z$4-D118)+$AB$1-(F118-E118)+(I118-$Z$3),IF(AND(N118="Sex",I118&gt;$Z$3),($AB$1-(F118-E118))+(I118-$Z$3),IF(AND(N118="Sex",E118&lt;&gt;"",D118&lt;$Y$4),($Z$4-D118)+$AB$1-(F118-E118)+(I118-$Z$3),IF(N118="Sáb",(I118-D118)-(G118-E118)-(S118-R118),IF(AND(B118&lt;$T$1,I118&gt;$Z$3),H118-$Z$3,IF(D118&lt;$Y$4,($Z$4-D118)+($AB$1-(F118-E118))+(I118-$Z$8)+(S118-R118),IF(AND(S118&lt;&gt;"",D118&gt;$Z$4),(S118-R118)-($AB$1-(F118-E118)),IF(AND(S118&lt;&gt;"",D118&lt;$Y$4),(S118-R118)-($AB$1-(F118-E118)+($Z$4-D118)),IF(I118&gt;$Z$8,($AB$1-(F118-E118))+(I118-$Z$8),IF(AND(N118="Sex",(F118-E118)&lt;($AB$1-$W$1)),($AB$1-(F118-E118)),IF(AND(O118&gt;($AB$1-$W$1),D118&gt;$Z$4),"",IF(AND(B118&gt;=$T$1,(F118-E118)&gt;($AB$1-$W$1)),"",IF(AND(D118&gt;=$Y$4,I118=$Z$8,S118=""),($AB$1-(F118-E118)),IF(AND(P118&lt;&gt;"",S118&lt;&gt;""),I118-$Z$8,IF(AND(P118&lt;&gt;"",D118&gt;$Y$4),$AB$1-(F118-E118),"")))))))))))))))))</f>
        <v/>
      </c>
      <c r="M118" s="107" t="str">
        <f>IFERROR(IF(H118="","",IF(B118=VLOOKUP(B118,Feriados[],2,0),(H118-D118)-(G118-E118),"")),"")</f>
        <v/>
      </c>
      <c r="N118" s="38" t="str">
        <f t="shared" si="8"/>
        <v>Sex</v>
      </c>
      <c r="O118" s="112">
        <f t="shared" si="9"/>
        <v>3.4722222222222265E-2</v>
      </c>
      <c r="P118" s="113" t="str">
        <f>IF(B118=_xlfn.XLOOKUP(B118,Feriados[FE Oficial],Feriados[FE Talvez],"",0),"",IF(B118&lt;$T$1,"",IF(Q118="Consulta","",IF(Q118="Compensado","",IF(N118="Sáb","",IF(S118&lt;&gt;"",(S118-R118)-(($AB$1-O118)-(D118-$Z$4)),IF(O118&gt;$AB$1,O118-$AB$1,IF(C118&gt;$Z$4,C118-$Z$4,IF(AND(N118="Sex",G118&lt;&gt;"",H118=""),$Z$3-G118,IF(AND(G118&lt;&gt;"",H118=""),$Z$3-G118,IF(AND(N118="Sex",H118&lt;$Y$3),$Z$3-H118,IF(AND(N118&lt;&gt;"Sex",H118&gt;$AA$8),"",IF(AND(N118="Sex",H118&gt;$Z$8),"",IF(AND(N118&lt;&gt;"Sex",I118&gt;$Z$8),$Z$8-H118,IF(AND(N118&lt;&gt;"Sex",H118&lt;$Y$8),$Z$8-H118,"")))))))))))))))</f>
        <v/>
      </c>
      <c r="Q118" s="33"/>
      <c r="R118" s="33"/>
      <c r="S118" s="33"/>
    </row>
    <row r="119" spans="1:19" x14ac:dyDescent="0.25">
      <c r="A119" s="116" t="s">
        <v>190</v>
      </c>
      <c r="B119" s="32">
        <v>43834</v>
      </c>
      <c r="C119" s="39">
        <f t="shared" si="5"/>
        <v>0.33333333333333331</v>
      </c>
      <c r="D119" s="33">
        <v>0.32361111111111113</v>
      </c>
      <c r="E119" s="33">
        <v>0.4861111111111111</v>
      </c>
      <c r="F119" s="39">
        <f t="shared" si="6"/>
        <v>0.52152777777777781</v>
      </c>
      <c r="G119" s="33">
        <v>0.52152777777777781</v>
      </c>
      <c r="H119" s="33">
        <v>0.70833333333333337</v>
      </c>
      <c r="I119" s="39">
        <f>IFERROR(IF(B119=VLOOKUP(B119,Feriados[],2,0),H119,IF(N119="Sáb",H119,IF(AND(B119&lt;$T$1,H119&lt;=$AA$3),$Z$3,IF(AND(N119="Sex",H119&gt;$AA$3),H119,IF(H119&lt;=$AA$3,$Z$3,IF(H119&lt;=$AA$8,$Z$8,H119)))))),IF(N119="Sáb",H119,IF(AND(B119&lt;$T$1,H119&lt;=$AA$3),$Z$3,IF(AND(N119="Sex",H119&gt;$AA$3),H119,IF(H119&lt;=$AA$3,$Z$3,IF(H119&lt;=$AA$8,$Z$8,H119))))))</f>
        <v>0.70833333333333337</v>
      </c>
      <c r="J119" s="33">
        <f t="shared" si="7"/>
        <v>0.33333333333333331</v>
      </c>
      <c r="K119" s="33">
        <f>IFERROR(IF(H119="","",IF(B119=VLOOKUP(B119,Feriados[],2,0),(H119-D119)-(G119-E119),IF(D119&lt;=$Y$4,(I119-D119)-(G119-E119),(I119-C119)-(F119-E119)))),IF(AND(D119&lt;=$Y$4,F119-E119=$AB$1),(I119-D119)-(F119-E119),IF(D119&lt;$Y$4,(I119-D119)-(G119-E119),(I119-C119)-(F119-E119))))</f>
        <v>0.34930555555555554</v>
      </c>
      <c r="L119" s="40">
        <f>IF(B119=_xlfn.XLOOKUP(B119,Feriados[FE Oficial],Feriados[FE Talvez],"",0),"",IF(Q119="Compensado","",IF(AND(N119="Sex",D119&lt;$Y$4),($Z$4-D119)+$AB$1-(F119-E119)+(I119-$Z$3),IF(AND(N119="Sex",I119&gt;$Z$3),($AB$1-(F119-E119))+(I119-$Z$3),IF(AND(N119="Sex",E119&lt;&gt;"",D119&lt;$Y$4),($Z$4-D119)+$AB$1-(F119-E119)+(I119-$Z$3),IF(N119="Sáb",(I119-D119)-(G119-E119)-(S119-R119),IF(AND(B119&lt;$T$1,I119&gt;$Z$3),H119-$Z$3,IF(D119&lt;$Y$4,($Z$4-D119)+($AB$1-(F119-E119))+(I119-$Z$8)+(S119-R119),IF(AND(S119&lt;&gt;"",D119&gt;$Z$4),(S119-R119)-($AB$1-(F119-E119)),IF(AND(S119&lt;&gt;"",D119&lt;$Y$4),(S119-R119)-($AB$1-(F119-E119)+($Z$4-D119)),IF(I119&gt;$Z$8,($AB$1-(F119-E119))+(I119-$Z$8),IF(AND(N119="Sex",(F119-E119)&lt;($AB$1-$W$1)),($AB$1-(F119-E119)),IF(AND(O119&gt;($AB$1-$W$1),D119&gt;$Z$4),"",IF(AND(B119&gt;=$T$1,(F119-E119)&gt;($AB$1-$W$1)),"",IF(AND(D119&gt;=$Y$4,I119=$Z$8,S119=""),($AB$1-(F119-E119)),IF(AND(P119&lt;&gt;"",S119&lt;&gt;""),I119-$Z$8,IF(AND(P119&lt;&gt;"",D119&gt;$Y$4),$AB$1-(F119-E119),"")))))))))))))))))</f>
        <v>1.5972222222222145E-2</v>
      </c>
      <c r="M119" s="107" t="str">
        <f>IFERROR(IF(H119="","",IF(B119=VLOOKUP(B119,Feriados[],2,0),(H119-D119)-(G119-E119),"")),"")</f>
        <v/>
      </c>
      <c r="N119" s="38" t="str">
        <f t="shared" si="8"/>
        <v>Sex</v>
      </c>
      <c r="O119" s="112">
        <f t="shared" si="9"/>
        <v>3.5416666666666707E-2</v>
      </c>
      <c r="P119" s="113" t="str">
        <f>IF(B119=_xlfn.XLOOKUP(B119,Feriados[FE Oficial],Feriados[FE Talvez],"",0),"",IF(B119&lt;$T$1,"",IF(Q119="Consulta","",IF(Q119="Compensado","",IF(N119="Sáb","",IF(S119&lt;&gt;"",(S119-R119)-(($AB$1-O119)-(D119-$Z$4)),IF(O119&gt;$AB$1,O119-$AB$1,IF(C119&gt;$Z$4,C119-$Z$4,IF(AND(N119="Sex",G119&lt;&gt;"",H119=""),$Z$3-G119,IF(AND(G119&lt;&gt;"",H119=""),$Z$3-G119,IF(AND(N119="Sex",H119&lt;$Y$3),$Z$3-H119,IF(AND(N119&lt;&gt;"Sex",H119&gt;$AA$8),"",IF(AND(N119="Sex",H119&gt;$Z$8),"",IF(AND(N119&lt;&gt;"Sex",I119&gt;$Z$8),$Z$8-H119,IF(AND(N119&lt;&gt;"Sex",H119&lt;$Y$8),$Z$8-H119,"")))))))))))))))</f>
        <v/>
      </c>
      <c r="Q119" s="33"/>
      <c r="R119" s="33"/>
      <c r="S119" s="33"/>
    </row>
    <row r="120" spans="1:19" x14ac:dyDescent="0.25">
      <c r="A120" s="116" t="s">
        <v>175</v>
      </c>
      <c r="B120" s="32">
        <v>43834</v>
      </c>
      <c r="C120" s="39">
        <f t="shared" si="5"/>
        <v>0.33333333333333331</v>
      </c>
      <c r="D120" s="33">
        <v>0.32361111111111113</v>
      </c>
      <c r="E120" s="33">
        <v>0.5</v>
      </c>
      <c r="F120" s="39">
        <f t="shared" si="6"/>
        <v>0.54166666666666663</v>
      </c>
      <c r="G120" s="33">
        <v>0.54166666666666663</v>
      </c>
      <c r="H120" s="33">
        <v>0.70833333333333337</v>
      </c>
      <c r="I120" s="39">
        <f>IFERROR(IF(B120=VLOOKUP(B120,Feriados[],2,0),H120,IF(N120="Sáb",H120,IF(AND(B120&lt;$T$1,H120&lt;=$AA$3),$Z$3,IF(AND(N120="Sex",H120&gt;$AA$3),H120,IF(H120&lt;=$AA$3,$Z$3,IF(H120&lt;=$AA$8,$Z$8,H120)))))),IF(N120="Sáb",H120,IF(AND(B120&lt;$T$1,H120&lt;=$AA$3),$Z$3,IF(AND(N120="Sex",H120&gt;$AA$3),H120,IF(H120&lt;=$AA$3,$Z$3,IF(H120&lt;=$AA$8,$Z$8,H120))))))</f>
        <v>0.70833333333333337</v>
      </c>
      <c r="J120" s="33">
        <f t="shared" si="7"/>
        <v>0.33333333333333331</v>
      </c>
      <c r="K120" s="33">
        <f>IFERROR(IF(H120="","",IF(B120=VLOOKUP(B120,Feriados[],2,0),(H120-D120)-(G120-E120),IF(D120&lt;=$Y$4,(I120-D120)-(G120-E120),(I120-C120)-(F120-E120)))),IF(AND(D120&lt;=$Y$4,F120-E120=$AB$1),(I120-D120)-(F120-E120),IF(D120&lt;$Y$4,(I120-D120)-(G120-E120),(I120-C120)-(F120-E120))))</f>
        <v>0.34305555555555561</v>
      </c>
      <c r="L120" s="40">
        <f>IF(B120=_xlfn.XLOOKUP(B120,Feriados[FE Oficial],Feriados[FE Talvez],"",0),"",IF(Q120="Compensado","",IF(AND(N120="Sex",D120&lt;$Y$4),($Z$4-D120)+$AB$1-(F120-E120)+(I120-$Z$3),IF(AND(N120="Sex",I120&gt;$Z$3),($AB$1-(F120-E120))+(I120-$Z$3),IF(AND(N120="Sex",E120&lt;&gt;"",D120&lt;$Y$4),($Z$4-D120)+$AB$1-(F120-E120)+(I120-$Z$3),IF(N120="Sáb",(I120-D120)-(G120-E120)-(S120-R120),IF(AND(B120&lt;$T$1,I120&gt;$Z$3),H120-$Z$3,IF(D120&lt;$Y$4,($Z$4-D120)+($AB$1-(F120-E120))+(I120-$Z$8)+(S120-R120),IF(AND(S120&lt;&gt;"",D120&gt;$Z$4),(S120-R120)-($AB$1-(F120-E120)),IF(AND(S120&lt;&gt;"",D120&lt;$Y$4),(S120-R120)-($AB$1-(F120-E120)+($Z$4-D120)),IF(I120&gt;$Z$8,($AB$1-(F120-E120))+(I120-$Z$8),IF(AND(N120="Sex",(F120-E120)&lt;($AB$1-$W$1)),($AB$1-(F120-E120)),IF(AND(O120&gt;($AB$1-$W$1),D120&gt;$Z$4),"",IF(AND(B120&gt;=$T$1,(F120-E120)&gt;($AB$1-$W$1)),"",IF(AND(D120&gt;=$Y$4,I120=$Z$8,S120=""),($AB$1-(F120-E120)),IF(AND(P120&lt;&gt;"",S120&lt;&gt;""),I120-$Z$8,IF(AND(P120&lt;&gt;"",D120&gt;$Y$4),$AB$1-(F120-E120),"")))))))))))))))))</f>
        <v>9.7222222222222224E-3</v>
      </c>
      <c r="M120" s="107" t="str">
        <f>IFERROR(IF(H120="","",IF(B120=VLOOKUP(B120,Feriados[],2,0),(H120-D120)-(G120-E120),"")),"")</f>
        <v/>
      </c>
      <c r="N120" s="38" t="str">
        <f t="shared" si="8"/>
        <v>Sex</v>
      </c>
      <c r="O120" s="112">
        <f t="shared" si="9"/>
        <v>4.166666666666663E-2</v>
      </c>
      <c r="P120" s="113" t="str">
        <f>IF(B120=_xlfn.XLOOKUP(B120,Feriados[FE Oficial],Feriados[FE Talvez],"",0),"",IF(B120&lt;$T$1,"",IF(Q120="Consulta","",IF(Q120="Compensado","",IF(N120="Sáb","",IF(S120&lt;&gt;"",(S120-R120)-(($AB$1-O120)-(D120-$Z$4)),IF(O120&gt;$AB$1,O120-$AB$1,IF(C120&gt;$Z$4,C120-$Z$4,IF(AND(N120="Sex",G120&lt;&gt;"",H120=""),$Z$3-G120,IF(AND(G120&lt;&gt;"",H120=""),$Z$3-G120,IF(AND(N120="Sex",H120&lt;$Y$3),$Z$3-H120,IF(AND(N120&lt;&gt;"Sex",H120&gt;$AA$8),"",IF(AND(N120="Sex",H120&gt;$Z$8),"",IF(AND(N120&lt;&gt;"Sex",I120&gt;$Z$8),$Z$8-H120,IF(AND(N120&lt;&gt;"Sex",H120&lt;$Y$8),$Z$8-H120,"")))))))))))))))</f>
        <v/>
      </c>
      <c r="Q120" s="33"/>
      <c r="R120" s="33"/>
      <c r="S120" s="33"/>
    </row>
    <row r="121" spans="1:19" x14ac:dyDescent="0.25">
      <c r="A121" s="116" t="s">
        <v>182</v>
      </c>
      <c r="B121" s="32">
        <v>43834</v>
      </c>
      <c r="C121" s="39">
        <f t="shared" si="5"/>
        <v>0.33333333333333331</v>
      </c>
      <c r="D121" s="33">
        <v>0.33333333333333331</v>
      </c>
      <c r="E121" s="33">
        <v>0.5</v>
      </c>
      <c r="F121" s="39">
        <f t="shared" si="6"/>
        <v>0.54166666666666663</v>
      </c>
      <c r="G121" s="33">
        <v>0.54166666666666663</v>
      </c>
      <c r="H121" s="33">
        <v>0.70833333333333337</v>
      </c>
      <c r="I121" s="39">
        <f>IFERROR(IF(B121=VLOOKUP(B121,Feriados[],2,0),H121,IF(N121="Sáb",H121,IF(AND(B121&lt;$T$1,H121&lt;=$AA$3),$Z$3,IF(AND(N121="Sex",H121&gt;$AA$3),H121,IF(H121&lt;=$AA$3,$Z$3,IF(H121&lt;=$AA$8,$Z$8,H121)))))),IF(N121="Sáb",H121,IF(AND(B121&lt;$T$1,H121&lt;=$AA$3),$Z$3,IF(AND(N121="Sex",H121&gt;$AA$3),H121,IF(H121&lt;=$AA$3,$Z$3,IF(H121&lt;=$AA$8,$Z$8,H121))))))</f>
        <v>0.70833333333333337</v>
      </c>
      <c r="J121" s="33">
        <f t="shared" si="7"/>
        <v>0.33333333333333343</v>
      </c>
      <c r="K121" s="33">
        <f>IFERROR(IF(H121="","",IF(B121=VLOOKUP(B121,Feriados[],2,0),(H121-D121)-(G121-E121),IF(D121&lt;=$Y$4,(I121-D121)-(G121-E121),(I121-C121)-(F121-E121)))),IF(AND(D121&lt;=$Y$4,F121-E121=$AB$1),(I121-D121)-(F121-E121),IF(D121&lt;$Y$4,(I121-D121)-(G121-E121),(I121-C121)-(F121-E121))))</f>
        <v>0.33333333333333343</v>
      </c>
      <c r="L121" s="40" t="str">
        <f>IF(B121=_xlfn.XLOOKUP(B121,Feriados[FE Oficial],Feriados[FE Talvez],"",0),"",IF(Q121="Compensado","",IF(AND(N121="Sex",D121&lt;$Y$4),($Z$4-D121)+$AB$1-(F121-E121)+(I121-$Z$3),IF(AND(N121="Sex",I121&gt;$Z$3),($AB$1-(F121-E121))+(I121-$Z$3),IF(AND(N121="Sex",E121&lt;&gt;"",D121&lt;$Y$4),($Z$4-D121)+$AB$1-(F121-E121)+(I121-$Z$3),IF(N121="Sáb",(I121-D121)-(G121-E121)-(S121-R121),IF(AND(B121&lt;$T$1,I121&gt;$Z$3),H121-$Z$3,IF(D121&lt;$Y$4,($Z$4-D121)+($AB$1-(F121-E121))+(I121-$Z$8)+(S121-R121),IF(AND(S121&lt;&gt;"",D121&gt;$Z$4),(S121-R121)-($AB$1-(F121-E121)),IF(AND(S121&lt;&gt;"",D121&lt;$Y$4),(S121-R121)-($AB$1-(F121-E121)+($Z$4-D121)),IF(I121&gt;$Z$8,($AB$1-(F121-E121))+(I121-$Z$8),IF(AND(N121="Sex",(F121-E121)&lt;($AB$1-$W$1)),($AB$1-(F121-E121)),IF(AND(O121&gt;($AB$1-$W$1),D121&gt;$Z$4),"",IF(AND(B121&gt;=$T$1,(F121-E121)&gt;($AB$1-$W$1)),"",IF(AND(D121&gt;=$Y$4,I121=$Z$8,S121=""),($AB$1-(F121-E121)),IF(AND(P121&lt;&gt;"",S121&lt;&gt;""),I121-$Z$8,IF(AND(P121&lt;&gt;"",D121&gt;$Y$4),$AB$1-(F121-E121),"")))))))))))))))))</f>
        <v/>
      </c>
      <c r="M121" s="107" t="str">
        <f>IFERROR(IF(H121="","",IF(B121=VLOOKUP(B121,Feriados[],2,0),(H121-D121)-(G121-E121),"")),"")</f>
        <v/>
      </c>
      <c r="N121" s="38" t="str">
        <f t="shared" si="8"/>
        <v>Sex</v>
      </c>
      <c r="O121" s="112">
        <f t="shared" si="9"/>
        <v>4.166666666666663E-2</v>
      </c>
      <c r="P121" s="113" t="str">
        <f>IF(B121=_xlfn.XLOOKUP(B121,Feriados[FE Oficial],Feriados[FE Talvez],"",0),"",IF(B121&lt;$T$1,"",IF(Q121="Consulta","",IF(Q121="Compensado","",IF(N121="Sáb","",IF(S121&lt;&gt;"",(S121-R121)-(($AB$1-O121)-(D121-$Z$4)),IF(O121&gt;$AB$1,O121-$AB$1,IF(C121&gt;$Z$4,C121-$Z$4,IF(AND(N121="Sex",G121&lt;&gt;"",H121=""),$Z$3-G121,IF(AND(G121&lt;&gt;"",H121=""),$Z$3-G121,IF(AND(N121="Sex",H121&lt;$Y$3),$Z$3-H121,IF(AND(N121&lt;&gt;"Sex",H121&gt;$AA$8),"",IF(AND(N121="Sex",H121&gt;$Z$8),"",IF(AND(N121&lt;&gt;"Sex",I121&gt;$Z$8),$Z$8-H121,IF(AND(N121&lt;&gt;"Sex",H121&lt;$Y$8),$Z$8-H121,"")))))))))))))))</f>
        <v/>
      </c>
      <c r="Q121" s="33"/>
      <c r="R121" s="33"/>
      <c r="S121" s="33"/>
    </row>
    <row r="122" spans="1:19" x14ac:dyDescent="0.25">
      <c r="A122" s="116" t="s">
        <v>194</v>
      </c>
      <c r="B122" s="32">
        <v>43835</v>
      </c>
      <c r="C122" s="39">
        <f t="shared" si="5"/>
        <v>0.33333333333333331</v>
      </c>
      <c r="D122" s="33">
        <v>0.29166666666666669</v>
      </c>
      <c r="E122" s="33">
        <v>0.5</v>
      </c>
      <c r="F122" s="39">
        <f t="shared" si="6"/>
        <v>0.54166666666666663</v>
      </c>
      <c r="G122" s="33">
        <v>0.54166666666666663</v>
      </c>
      <c r="H122" s="33">
        <v>0.66666666666666663</v>
      </c>
      <c r="I122" s="39">
        <f>IFERROR(IF(B122=VLOOKUP(B122,Feriados[],2,0),H122,IF(N122="Sáb",H122,IF(AND(B122&lt;$T$1,H122&lt;=$AA$3),$Z$3,IF(AND(N122="Sex",H122&gt;$AA$3),H122,IF(H122&lt;=$AA$3,$Z$3,IF(H122&lt;=$AA$8,$Z$8,H122)))))),IF(N122="Sáb",H122,IF(AND(B122&lt;$T$1,H122&lt;=$AA$3),$Z$3,IF(AND(N122="Sex",H122&gt;$AA$3),H122,IF(H122&lt;=$AA$3,$Z$3,IF(H122&lt;=$AA$8,$Z$8,H122))))))</f>
        <v>0.66666666666666663</v>
      </c>
      <c r="J122" s="33">
        <f t="shared" si="7"/>
        <v>0.33333333333333331</v>
      </c>
      <c r="K122" s="33">
        <f>IFERROR(IF(H122="","",IF(B122=VLOOKUP(B122,Feriados[],2,0),(H122-D122)-(G122-E122),IF(D122&lt;=$Y$4,(I122-D122)-(G122-E122),(I122-C122)-(F122-E122)))),IF(AND(D122&lt;=$Y$4,F122-E122=$AB$1),(I122-D122)-(F122-E122),IF(D122&lt;$Y$4,(I122-D122)-(G122-E122),(I122-C122)-(F122-E122))))</f>
        <v>0.33333333333333331</v>
      </c>
      <c r="L122" s="40">
        <f>IF(B122=_xlfn.XLOOKUP(B122,Feriados[FE Oficial],Feriados[FE Talvez],"",0),"",IF(Q122="Compensado","",IF(AND(N122="Sex",D122&lt;$Y$4),($Z$4-D122)+$AB$1-(F122-E122)+(I122-$Z$3),IF(AND(N122="Sex",I122&gt;$Z$3),($AB$1-(F122-E122))+(I122-$Z$3),IF(AND(N122="Sex",E122&lt;&gt;"",D122&lt;$Y$4),($Z$4-D122)+$AB$1-(F122-E122)+(I122-$Z$3),IF(N122="Sáb",(I122-D122)-(G122-E122)-(S122-R122),IF(AND(B122&lt;$T$1,I122&gt;$Z$3),H122-$Z$3,IF(D122&lt;$Y$4,($Z$4-D122)+($AB$1-(F122-E122))+(I122-$Z$8)+(S122-R122),IF(AND(S122&lt;&gt;"",D122&gt;$Z$4),(S122-R122)-($AB$1-(F122-E122)),IF(AND(S122&lt;&gt;"",D122&lt;$Y$4),(S122-R122)-($AB$1-(F122-E122)+($Z$4-D122)),IF(I122&gt;$Z$8,($AB$1-(F122-E122))+(I122-$Z$8),IF(AND(N122="Sex",(F122-E122)&lt;($AB$1-$W$1)),($AB$1-(F122-E122)),IF(AND(O122&gt;($AB$1-$W$1),D122&gt;$Z$4),"",IF(AND(B122&gt;=$T$1,(F122-E122)&gt;($AB$1-$W$1)),"",IF(AND(D122&gt;=$Y$4,I122=$Z$8,S122=""),($AB$1-(F122-E122)),IF(AND(P122&lt;&gt;"",S122&lt;&gt;""),I122-$Z$8,IF(AND(P122&lt;&gt;"",D122&gt;$Y$4),$AB$1-(F122-E122),"")))))))))))))))))</f>
        <v>0.33333333333333331</v>
      </c>
      <c r="M122" s="107" t="str">
        <f>IFERROR(IF(H122="","",IF(B122=VLOOKUP(B122,Feriados[],2,0),(H122-D122)-(G122-E122),"")),"")</f>
        <v/>
      </c>
      <c r="N122" s="38" t="str">
        <f t="shared" si="8"/>
        <v>Sáb</v>
      </c>
      <c r="O122" s="112">
        <f t="shared" si="9"/>
        <v>4.166666666666663E-2</v>
      </c>
      <c r="P122" s="113" t="str">
        <f>IF(B122=_xlfn.XLOOKUP(B122,Feriados[FE Oficial],Feriados[FE Talvez],"",0),"",IF(B122&lt;$T$1,"",IF(Q122="Consulta","",IF(Q122="Compensado","",IF(N122="Sáb","",IF(S122&lt;&gt;"",(S122-R122)-(($AB$1-O122)-(D122-$Z$4)),IF(O122&gt;$AB$1,O122-$AB$1,IF(C122&gt;$Z$4,C122-$Z$4,IF(AND(N122="Sex",G122&lt;&gt;"",H122=""),$Z$3-G122,IF(AND(G122&lt;&gt;"",H122=""),$Z$3-G122,IF(AND(N122="Sex",H122&lt;$Y$3),$Z$3-H122,IF(AND(N122&lt;&gt;"Sex",H122&gt;$AA$8),"",IF(AND(N122="Sex",H122&gt;$Z$8),"",IF(AND(N122&lt;&gt;"Sex",I122&gt;$Z$8),$Z$8-H122,IF(AND(N122&lt;&gt;"Sex",H122&lt;$Y$8),$Z$8-H122,"")))))))))))))))</f>
        <v/>
      </c>
      <c r="Q122" s="33"/>
      <c r="R122" s="33"/>
      <c r="S122" s="33"/>
    </row>
    <row r="123" spans="1:19" x14ac:dyDescent="0.25">
      <c r="A123" s="116" t="s">
        <v>175</v>
      </c>
      <c r="B123" s="32">
        <v>43835</v>
      </c>
      <c r="C123" s="39">
        <f t="shared" si="5"/>
        <v>0.33333333333333331</v>
      </c>
      <c r="D123" s="33">
        <v>0.32291666666666669</v>
      </c>
      <c r="E123" s="33">
        <v>0.5</v>
      </c>
      <c r="F123" s="39">
        <f t="shared" si="6"/>
        <v>0.54166666666666663</v>
      </c>
      <c r="G123" s="33">
        <v>0.54166666666666663</v>
      </c>
      <c r="H123" s="33">
        <v>0.66666666666666663</v>
      </c>
      <c r="I123" s="39">
        <f>IFERROR(IF(B123=VLOOKUP(B123,Feriados[],2,0),H123,IF(N123="Sáb",H123,IF(AND(B123&lt;$T$1,H123&lt;=$AA$3),$Z$3,IF(AND(N123="Sex",H123&gt;$AA$3),H123,IF(H123&lt;=$AA$3,$Z$3,IF(H123&lt;=$AA$8,$Z$8,H123)))))),IF(N123="Sáb",H123,IF(AND(B123&lt;$T$1,H123&lt;=$AA$3),$Z$3,IF(AND(N123="Sex",H123&gt;$AA$3),H123,IF(H123&lt;=$AA$3,$Z$3,IF(H123&lt;=$AA$8,$Z$8,H123))))))</f>
        <v>0.66666666666666663</v>
      </c>
      <c r="J123" s="33">
        <f t="shared" si="7"/>
        <v>0.30208333333333331</v>
      </c>
      <c r="K123" s="33">
        <f>IFERROR(IF(H123="","",IF(B123=VLOOKUP(B123,Feriados[],2,0),(H123-D123)-(G123-E123),IF(D123&lt;=$Y$4,(I123-D123)-(G123-E123),(I123-C123)-(F123-E123)))),IF(AND(D123&lt;=$Y$4,F123-E123=$AB$1),(I123-D123)-(F123-E123),IF(D123&lt;$Y$4,(I123-D123)-(G123-E123),(I123-C123)-(F123-E123))))</f>
        <v>0.30208333333333331</v>
      </c>
      <c r="L123" s="40">
        <f>IF(B123=_xlfn.XLOOKUP(B123,Feriados[FE Oficial],Feriados[FE Talvez],"",0),"",IF(Q123="Compensado","",IF(AND(N123="Sex",D123&lt;$Y$4),($Z$4-D123)+$AB$1-(F123-E123)+(I123-$Z$3),IF(AND(N123="Sex",I123&gt;$Z$3),($AB$1-(F123-E123))+(I123-$Z$3),IF(AND(N123="Sex",E123&lt;&gt;"",D123&lt;$Y$4),($Z$4-D123)+$AB$1-(F123-E123)+(I123-$Z$3),IF(N123="Sáb",(I123-D123)-(G123-E123)-(S123-R123),IF(AND(B123&lt;$T$1,I123&gt;$Z$3),H123-$Z$3,IF(D123&lt;$Y$4,($Z$4-D123)+($AB$1-(F123-E123))+(I123-$Z$8)+(S123-R123),IF(AND(S123&lt;&gt;"",D123&gt;$Z$4),(S123-R123)-($AB$1-(F123-E123)),IF(AND(S123&lt;&gt;"",D123&lt;$Y$4),(S123-R123)-($AB$1-(F123-E123)+($Z$4-D123)),IF(I123&gt;$Z$8,($AB$1-(F123-E123))+(I123-$Z$8),IF(AND(N123="Sex",(F123-E123)&lt;($AB$1-$W$1)),($AB$1-(F123-E123)),IF(AND(O123&gt;($AB$1-$W$1),D123&gt;$Z$4),"",IF(AND(B123&gt;=$T$1,(F123-E123)&gt;($AB$1-$W$1)),"",IF(AND(D123&gt;=$Y$4,I123=$Z$8,S123=""),($AB$1-(F123-E123)),IF(AND(P123&lt;&gt;"",S123&lt;&gt;""),I123-$Z$8,IF(AND(P123&lt;&gt;"",D123&gt;$Y$4),$AB$1-(F123-E123),"")))))))))))))))))</f>
        <v>0.30208333333333331</v>
      </c>
      <c r="M123" s="107" t="str">
        <f>IFERROR(IF(H123="","",IF(B123=VLOOKUP(B123,Feriados[],2,0),(H123-D123)-(G123-E123),"")),"")</f>
        <v/>
      </c>
      <c r="N123" s="38" t="str">
        <f t="shared" si="8"/>
        <v>Sáb</v>
      </c>
      <c r="O123" s="112">
        <f t="shared" si="9"/>
        <v>4.166666666666663E-2</v>
      </c>
      <c r="P123" s="113" t="str">
        <f>IF(B123=_xlfn.XLOOKUP(B123,Feriados[FE Oficial],Feriados[FE Talvez],"",0),"",IF(B123&lt;$T$1,"",IF(Q123="Consulta","",IF(Q123="Compensado","",IF(N123="Sáb","",IF(S123&lt;&gt;"",(S123-R123)-(($AB$1-O123)-(D123-$Z$4)),IF(O123&gt;$AB$1,O123-$AB$1,IF(C123&gt;$Z$4,C123-$Z$4,IF(AND(N123="Sex",G123&lt;&gt;"",H123=""),$Z$3-G123,IF(AND(G123&lt;&gt;"",H123=""),$Z$3-G123,IF(AND(N123="Sex",H123&lt;$Y$3),$Z$3-H123,IF(AND(N123&lt;&gt;"Sex",H123&gt;$AA$8),"",IF(AND(N123="Sex",H123&gt;$Z$8),"",IF(AND(N123&lt;&gt;"Sex",I123&gt;$Z$8),$Z$8-H123,IF(AND(N123&lt;&gt;"Sex",H123&lt;$Y$8),$Z$8-H123,"")))))))))))))))</f>
        <v/>
      </c>
      <c r="Q123" s="33"/>
      <c r="R123" s="33"/>
      <c r="S123" s="33"/>
    </row>
    <row r="124" spans="1:19" x14ac:dyDescent="0.25">
      <c r="A124" s="116" t="s">
        <v>190</v>
      </c>
      <c r="B124" s="32">
        <v>43837</v>
      </c>
      <c r="C124" s="39">
        <f t="shared" si="5"/>
        <v>0.33333333333333331</v>
      </c>
      <c r="D124" s="33">
        <v>0.33055555555555555</v>
      </c>
      <c r="E124" s="33">
        <v>0.47916666666666669</v>
      </c>
      <c r="F124" s="39">
        <f t="shared" si="6"/>
        <v>0.52083333333333337</v>
      </c>
      <c r="G124" s="33">
        <v>0.52013888888888882</v>
      </c>
      <c r="H124" s="33">
        <v>0.75</v>
      </c>
      <c r="I124" s="39">
        <f>IFERROR(IF(B124=VLOOKUP(B124,Feriados[],2,0),H124,IF(N124="Sáb",H124,IF(AND(B124&lt;$T$1,H124&lt;=$AA$3),$Z$3,IF(AND(N124="Sex",H124&gt;$AA$3),H124,IF(H124&lt;=$AA$3,$Z$3,IF(H124&lt;=$AA$8,$Z$8,H124)))))),IF(N124="Sáb",H124,IF(AND(B124&lt;$T$1,H124&lt;=$AA$3),$Z$3,IF(AND(N124="Sex",H124&gt;$AA$3),H124,IF(H124&lt;=$AA$3,$Z$3,IF(H124&lt;=$AA$8,$Z$8,H124))))))</f>
        <v>0.75</v>
      </c>
      <c r="J124" s="33">
        <f t="shared" si="7"/>
        <v>0.375</v>
      </c>
      <c r="K124" s="33">
        <f>IFERROR(IF(H124="","",IF(B124=VLOOKUP(B124,Feriados[],2,0),(H124-D124)-(G124-E124),IF(D124&lt;=$Y$4,(I124-D124)-(G124-E124),(I124-C124)-(F124-E124)))),IF(AND(D124&lt;=$Y$4,F124-E124=$AB$1),(I124-D124)-(F124-E124),IF(D124&lt;$Y$4,(I124-D124)-(G124-E124),(I124-C124)-(F124-E124))))</f>
        <v>0.375</v>
      </c>
      <c r="L124" s="40" t="str">
        <f>IF(B124=_xlfn.XLOOKUP(B124,Feriados[FE Oficial],Feriados[FE Talvez],"",0),"",IF(Q124="Compensado","",IF(AND(N124="Sex",D124&lt;$Y$4),($Z$4-D124)+$AB$1-(F124-E124)+(I124-$Z$3),IF(AND(N124="Sex",I124&gt;$Z$3),($AB$1-(F124-E124))+(I124-$Z$3),IF(AND(N124="Sex",E124&lt;&gt;"",D124&lt;$Y$4),($Z$4-D124)+$AB$1-(F124-E124)+(I124-$Z$3),IF(N124="Sáb",(I124-D124)-(G124-E124)-(S124-R124),IF(AND(B124&lt;$T$1,I124&gt;$Z$3),H124-$Z$3,IF(D124&lt;$Y$4,($Z$4-D124)+($AB$1-(F124-E124))+(I124-$Z$8)+(S124-R124),IF(AND(S124&lt;&gt;"",D124&gt;$Z$4),(S124-R124)-($AB$1-(F124-E124)),IF(AND(S124&lt;&gt;"",D124&lt;$Y$4),(S124-R124)-($AB$1-(F124-E124)+($Z$4-D124)),IF(I124&gt;$Z$8,($AB$1-(F124-E124))+(I124-$Z$8),IF(AND(N124="Sex",(F124-E124)&lt;($AB$1-$W$1)),($AB$1-(F124-E124)),IF(AND(O124&gt;($AB$1-$W$1),D124&gt;$Z$4),"",IF(AND(B124&gt;=$T$1,(F124-E124)&gt;($AB$1-$W$1)),"",IF(AND(D124&gt;=$Y$4,I124=$Z$8,S124=""),($AB$1-(F124-E124)),IF(AND(P124&lt;&gt;"",S124&lt;&gt;""),I124-$Z$8,IF(AND(P124&lt;&gt;"",D124&gt;$Y$4),$AB$1-(F124-E124),"")))))))))))))))))</f>
        <v/>
      </c>
      <c r="M124" s="107" t="str">
        <f>IFERROR(IF(H124="","",IF(B124=VLOOKUP(B124,Feriados[],2,0),(H124-D124)-(G124-E124),"")),"")</f>
        <v/>
      </c>
      <c r="N124" s="38" t="str">
        <f t="shared" si="8"/>
        <v>Seg</v>
      </c>
      <c r="O124" s="112">
        <f t="shared" si="9"/>
        <v>4.0972222222222132E-2</v>
      </c>
      <c r="P124" s="113" t="str">
        <f>IF(B124=_xlfn.XLOOKUP(B124,Feriados[FE Oficial],Feriados[FE Talvez],"",0),"",IF(B124&lt;$T$1,"",IF(Q124="Consulta","",IF(Q124="Compensado","",IF(N124="Sáb","",IF(S124&lt;&gt;"",(S124-R124)-(($AB$1-O124)-(D124-$Z$4)),IF(O124&gt;$AB$1,O124-$AB$1,IF(C124&gt;$Z$4,C124-$Z$4,IF(AND(N124="Sex",G124&lt;&gt;"",H124=""),$Z$3-G124,IF(AND(G124&lt;&gt;"",H124=""),$Z$3-G124,IF(AND(N124="Sex",H124&lt;$Y$3),$Z$3-H124,IF(AND(N124&lt;&gt;"Sex",H124&gt;$AA$8),"",IF(AND(N124="Sex",H124&gt;$Z$8),"",IF(AND(N124&lt;&gt;"Sex",I124&gt;$Z$8),$Z$8-H124,IF(AND(N124&lt;&gt;"Sex",H124&lt;$Y$8),$Z$8-H124,"")))))))))))))))</f>
        <v/>
      </c>
      <c r="Q124" s="33"/>
      <c r="R124" s="33"/>
      <c r="S124" s="33"/>
    </row>
    <row r="125" spans="1:19" x14ac:dyDescent="0.25">
      <c r="A125" s="116" t="s">
        <v>194</v>
      </c>
      <c r="B125" s="32">
        <v>43837</v>
      </c>
      <c r="C125" s="39">
        <f t="shared" si="5"/>
        <v>0.33333333333333331</v>
      </c>
      <c r="D125" s="33">
        <v>0.29166666666666669</v>
      </c>
      <c r="E125" s="33">
        <v>0.5</v>
      </c>
      <c r="F125" s="39">
        <f t="shared" si="6"/>
        <v>0.54166666666666663</v>
      </c>
      <c r="G125" s="33">
        <v>0.54166666666666663</v>
      </c>
      <c r="H125" s="33">
        <v>0.75</v>
      </c>
      <c r="I125" s="39">
        <f>IFERROR(IF(B125=VLOOKUP(B125,Feriados[],2,0),H125,IF(N125="Sáb",H125,IF(AND(B125&lt;$T$1,H125&lt;=$AA$3),$Z$3,IF(AND(N125="Sex",H125&gt;$AA$3),H125,IF(H125&lt;=$AA$3,$Z$3,IF(H125&lt;=$AA$8,$Z$8,H125)))))),IF(N125="Sáb",H125,IF(AND(B125&lt;$T$1,H125&lt;=$AA$3),$Z$3,IF(AND(N125="Sex",H125&gt;$AA$3),H125,IF(H125&lt;=$AA$3,$Z$3,IF(H125&lt;=$AA$8,$Z$8,H125))))))</f>
        <v>0.75</v>
      </c>
      <c r="J125" s="33">
        <f t="shared" si="7"/>
        <v>0.375</v>
      </c>
      <c r="K125" s="33">
        <f>IFERROR(IF(H125="","",IF(B125=VLOOKUP(B125,Feriados[],2,0),(H125-D125)-(G125-E125),IF(D125&lt;=$Y$4,(I125-D125)-(G125-E125),(I125-C125)-(F125-E125)))),IF(AND(D125&lt;=$Y$4,F125-E125=$AB$1),(I125-D125)-(F125-E125),IF(D125&lt;$Y$4,(I125-D125)-(G125-E125),(I125-C125)-(F125-E125))))</f>
        <v>0.41666666666666669</v>
      </c>
      <c r="L125" s="40">
        <f>IF(B125=_xlfn.XLOOKUP(B125,Feriados[FE Oficial],Feriados[FE Talvez],"",0),"",IF(Q125="Compensado","",IF(AND(N125="Sex",D125&lt;$Y$4),($Z$4-D125)+$AB$1-(F125-E125)+(I125-$Z$3),IF(AND(N125="Sex",I125&gt;$Z$3),($AB$1-(F125-E125))+(I125-$Z$3),IF(AND(N125="Sex",E125&lt;&gt;"",D125&lt;$Y$4),($Z$4-D125)+$AB$1-(F125-E125)+(I125-$Z$3),IF(N125="Sáb",(I125-D125)-(G125-E125)-(S125-R125),IF(AND(B125&lt;$T$1,I125&gt;$Z$3),H125-$Z$3,IF(D125&lt;$Y$4,($Z$4-D125)+($AB$1-(F125-E125))+(I125-$Z$8)+(S125-R125),IF(AND(S125&lt;&gt;"",D125&gt;$Z$4),(S125-R125)-($AB$1-(F125-E125)),IF(AND(S125&lt;&gt;"",D125&lt;$Y$4),(S125-R125)-($AB$1-(F125-E125)+($Z$4-D125)),IF(I125&gt;$Z$8,($AB$1-(F125-E125))+(I125-$Z$8),IF(AND(N125="Sex",(F125-E125)&lt;($AB$1-$W$1)),($AB$1-(F125-E125)),IF(AND(O125&gt;($AB$1-$W$1),D125&gt;$Z$4),"",IF(AND(B125&gt;=$T$1,(F125-E125)&gt;($AB$1-$W$1)),"",IF(AND(D125&gt;=$Y$4,I125=$Z$8,S125=""),($AB$1-(F125-E125)),IF(AND(P125&lt;&gt;"",S125&lt;&gt;""),I125-$Z$8,IF(AND(P125&lt;&gt;"",D125&gt;$Y$4),$AB$1-(F125-E125),"")))))))))))))))))</f>
        <v>4.1666666666666664E-2</v>
      </c>
      <c r="M125" s="107" t="str">
        <f>IFERROR(IF(H125="","",IF(B125=VLOOKUP(B125,Feriados[],2,0),(H125-D125)-(G125-E125),"")),"")</f>
        <v/>
      </c>
      <c r="N125" s="38" t="str">
        <f t="shared" si="8"/>
        <v>Seg</v>
      </c>
      <c r="O125" s="112">
        <f t="shared" si="9"/>
        <v>4.166666666666663E-2</v>
      </c>
      <c r="P125" s="113" t="str">
        <f>IF(B125=_xlfn.XLOOKUP(B125,Feriados[FE Oficial],Feriados[FE Talvez],"",0),"",IF(B125&lt;$T$1,"",IF(Q125="Consulta","",IF(Q125="Compensado","",IF(N125="Sáb","",IF(S125&lt;&gt;"",(S125-R125)-(($AB$1-O125)-(D125-$Z$4)),IF(O125&gt;$AB$1,O125-$AB$1,IF(C125&gt;$Z$4,C125-$Z$4,IF(AND(N125="Sex",G125&lt;&gt;"",H125=""),$Z$3-G125,IF(AND(G125&lt;&gt;"",H125=""),$Z$3-G125,IF(AND(N125="Sex",H125&lt;$Y$3),$Z$3-H125,IF(AND(N125&lt;&gt;"Sex",H125&gt;$AA$8),"",IF(AND(N125="Sex",H125&gt;$Z$8),"",IF(AND(N125&lt;&gt;"Sex",I125&gt;$Z$8),$Z$8-H125,IF(AND(N125&lt;&gt;"Sex",H125&lt;$Y$8),$Z$8-H125,"")))))))))))))))</f>
        <v/>
      </c>
      <c r="Q125" s="33"/>
      <c r="R125" s="33"/>
      <c r="S125" s="33"/>
    </row>
    <row r="126" spans="1:19" x14ac:dyDescent="0.25">
      <c r="A126" s="116" t="s">
        <v>197</v>
      </c>
      <c r="B126" s="32">
        <v>43837</v>
      </c>
      <c r="C126" s="39">
        <f t="shared" si="5"/>
        <v>0.33333333333333331</v>
      </c>
      <c r="D126" s="33">
        <v>0.33333333333333331</v>
      </c>
      <c r="E126" s="33">
        <v>0.47916666666666669</v>
      </c>
      <c r="F126" s="39">
        <f t="shared" si="6"/>
        <v>0.52083333333333337</v>
      </c>
      <c r="G126" s="33">
        <v>0.52083333333333337</v>
      </c>
      <c r="H126" s="33">
        <v>0.54722222222222217</v>
      </c>
      <c r="I126" s="39">
        <f>IFERROR(IF(B126=VLOOKUP(B126,Feriados[],2,0),H126,IF(N126="Sáb",H126,IF(AND(B126&lt;$T$1,H126&lt;=$AA$3),$Z$3,IF(AND(N126="Sex",H126&gt;$AA$3),H126,IF(H126&lt;=$AA$3,$Z$3,IF(H126&lt;=$AA$8,$Z$8,H126)))))),IF(N126="Sáb",H126,IF(AND(B126&lt;$T$1,H126&lt;=$AA$3),$Z$3,IF(AND(N126="Sex",H126&gt;$AA$3),H126,IF(H126&lt;=$AA$3,$Z$3,IF(H126&lt;=$AA$8,$Z$8,H126))))))</f>
        <v>0.70833333333333337</v>
      </c>
      <c r="J126" s="33">
        <f t="shared" si="7"/>
        <v>0.17222222222222217</v>
      </c>
      <c r="K126" s="33">
        <f>IFERROR(IF(H126="","",IF(B126=VLOOKUP(B126,Feriados[],2,0),(H126-D126)-(G126-E126),IF(D126&lt;=$Y$4,(I126-D126)-(G126-E126),(I126-C126)-(F126-E126)))),IF(AND(D126&lt;=$Y$4,F126-E126=$AB$1),(I126-D126)-(F126-E126),IF(D126&lt;$Y$4,(I126-D126)-(G126-E126),(I126-C126)-(F126-E126))))</f>
        <v>0.33333333333333337</v>
      </c>
      <c r="L126" s="40" t="str">
        <f>IF(B126=_xlfn.XLOOKUP(B126,Feriados[FE Oficial],Feriados[FE Talvez],"",0),"",IF(Q126="Compensado","",IF(AND(N126="Sex",D126&lt;$Y$4),($Z$4-D126)+$AB$1-(F126-E126)+(I126-$Z$3),IF(AND(N126="Sex",I126&gt;$Z$3),($AB$1-(F126-E126))+(I126-$Z$3),IF(AND(N126="Sex",E126&lt;&gt;"",D126&lt;$Y$4),($Z$4-D126)+$AB$1-(F126-E126)+(I126-$Z$3),IF(N126="Sáb",(I126-D126)-(G126-E126)-(S126-R126),IF(AND(B126&lt;$T$1,I126&gt;$Z$3),H126-$Z$3,IF(D126&lt;$Y$4,($Z$4-D126)+($AB$1-(F126-E126))+(I126-$Z$8)+(S126-R126),IF(AND(S126&lt;&gt;"",D126&gt;$Z$4),(S126-R126)-($AB$1-(F126-E126)),IF(AND(S126&lt;&gt;"",D126&lt;$Y$4),(S126-R126)-($AB$1-(F126-E126)+($Z$4-D126)),IF(I126&gt;$Z$8,($AB$1-(F126-E126))+(I126-$Z$8),IF(AND(N126="Sex",(F126-E126)&lt;($AB$1-$W$1)),($AB$1-(F126-E126)),IF(AND(O126&gt;($AB$1-$W$1),D126&gt;$Z$4),"",IF(AND(B126&gt;=$T$1,(F126-E126)&gt;($AB$1-$W$1)),"",IF(AND(D126&gt;=$Y$4,I126=$Z$8,S126=""),($AB$1-(F126-E126)),IF(AND(P126&lt;&gt;"",S126&lt;&gt;""),I126-$Z$8,IF(AND(P126&lt;&gt;"",D126&gt;$Y$4),$AB$1-(F126-E126),"")))))))))))))))))</f>
        <v/>
      </c>
      <c r="M126" s="107" t="str">
        <f>IFERROR(IF(H126="","",IF(B126=VLOOKUP(B126,Feriados[],2,0),(H126-D126)-(G126-E126),"")),"")</f>
        <v/>
      </c>
      <c r="N126" s="38" t="str">
        <f t="shared" si="8"/>
        <v>Seg</v>
      </c>
      <c r="O126" s="112">
        <f t="shared" si="9"/>
        <v>4.1666666666666685E-2</v>
      </c>
      <c r="P126" s="113">
        <f>IF(B126=_xlfn.XLOOKUP(B126,Feriados[FE Oficial],Feriados[FE Talvez],"",0),"",IF(B126&lt;$T$1,"",IF(Q126="Consulta","",IF(Q126="Compensado","",IF(N126="Sáb","",IF(S126&lt;&gt;"",(S126-R126)-(($AB$1-O126)-(D126-$Z$4)),IF(O126&gt;$AB$1,O126-$AB$1,IF(C126&gt;$Z$4,C126-$Z$4,IF(AND(N126="Sex",G126&lt;&gt;"",H126=""),$Z$3-G126,IF(AND(G126&lt;&gt;"",H126=""),$Z$3-G126,IF(AND(N126="Sex",H126&lt;$Y$3),$Z$3-H126,IF(AND(N126&lt;&gt;"Sex",H126&gt;$AA$8),"",IF(AND(N126="Sex",H126&gt;$Z$8),"",IF(AND(N126&lt;&gt;"Sex",I126&gt;$Z$8),$Z$8-H126,IF(AND(N126&lt;&gt;"Sex",H126&lt;$Y$8),$Z$8-H126,"")))))))))))))))</f>
        <v>0.20277777777777783</v>
      </c>
      <c r="Q126" s="33"/>
      <c r="R126" s="33"/>
      <c r="S126" s="33"/>
    </row>
    <row r="127" spans="1:19" x14ac:dyDescent="0.25">
      <c r="A127" s="116" t="s">
        <v>191</v>
      </c>
      <c r="B127" s="32">
        <v>43837</v>
      </c>
      <c r="C127" s="39">
        <f t="shared" si="5"/>
        <v>0.33333333333333331</v>
      </c>
      <c r="D127" s="33">
        <v>0.33333333333333331</v>
      </c>
      <c r="E127" s="33">
        <v>0.5</v>
      </c>
      <c r="F127" s="39">
        <f t="shared" si="6"/>
        <v>0.54166666666666663</v>
      </c>
      <c r="G127" s="33">
        <v>0.54166666666666663</v>
      </c>
      <c r="H127" s="33">
        <v>0.75</v>
      </c>
      <c r="I127" s="39">
        <f>IFERROR(IF(B127=VLOOKUP(B127,Feriados[],2,0),H127,IF(N127="Sáb",H127,IF(AND(B127&lt;$T$1,H127&lt;=$AA$3),$Z$3,IF(AND(N127="Sex",H127&gt;$AA$3),H127,IF(H127&lt;=$AA$3,$Z$3,IF(H127&lt;=$AA$8,$Z$8,H127)))))),IF(N127="Sáb",H127,IF(AND(B127&lt;$T$1,H127&lt;=$AA$3),$Z$3,IF(AND(N127="Sex",H127&gt;$AA$3),H127,IF(H127&lt;=$AA$3,$Z$3,IF(H127&lt;=$AA$8,$Z$8,H127))))))</f>
        <v>0.75</v>
      </c>
      <c r="J127" s="33">
        <f t="shared" si="7"/>
        <v>0.37500000000000006</v>
      </c>
      <c r="K127" s="33">
        <f>IFERROR(IF(H127="","",IF(B127=VLOOKUP(B127,Feriados[],2,0),(H127-D127)-(G127-E127),IF(D127&lt;=$Y$4,(I127-D127)-(G127-E127),(I127-C127)-(F127-E127)))),IF(AND(D127&lt;=$Y$4,F127-E127=$AB$1),(I127-D127)-(F127-E127),IF(D127&lt;$Y$4,(I127-D127)-(G127-E127),(I127-C127)-(F127-E127))))</f>
        <v>0.37500000000000006</v>
      </c>
      <c r="L127" s="40" t="str">
        <f>IF(B127=_xlfn.XLOOKUP(B127,Feriados[FE Oficial],Feriados[FE Talvez],"",0),"",IF(Q127="Compensado","",IF(AND(N127="Sex",D127&lt;$Y$4),($Z$4-D127)+$AB$1-(F127-E127)+(I127-$Z$3),IF(AND(N127="Sex",I127&gt;$Z$3),($AB$1-(F127-E127))+(I127-$Z$3),IF(AND(N127="Sex",E127&lt;&gt;"",D127&lt;$Y$4),($Z$4-D127)+$AB$1-(F127-E127)+(I127-$Z$3),IF(N127="Sáb",(I127-D127)-(G127-E127)-(S127-R127),IF(AND(B127&lt;$T$1,I127&gt;$Z$3),H127-$Z$3,IF(D127&lt;$Y$4,($Z$4-D127)+($AB$1-(F127-E127))+(I127-$Z$8)+(S127-R127),IF(AND(S127&lt;&gt;"",D127&gt;$Z$4),(S127-R127)-($AB$1-(F127-E127)),IF(AND(S127&lt;&gt;"",D127&lt;$Y$4),(S127-R127)-($AB$1-(F127-E127)+($Z$4-D127)),IF(I127&gt;$Z$8,($AB$1-(F127-E127))+(I127-$Z$8),IF(AND(N127="Sex",(F127-E127)&lt;($AB$1-$W$1)),($AB$1-(F127-E127)),IF(AND(O127&gt;($AB$1-$W$1),D127&gt;$Z$4),"",IF(AND(B127&gt;=$T$1,(F127-E127)&gt;($AB$1-$W$1)),"",IF(AND(D127&gt;=$Y$4,I127=$Z$8,S127=""),($AB$1-(F127-E127)),IF(AND(P127&lt;&gt;"",S127&lt;&gt;""),I127-$Z$8,IF(AND(P127&lt;&gt;"",D127&gt;$Y$4),$AB$1-(F127-E127),"")))))))))))))))))</f>
        <v/>
      </c>
      <c r="M127" s="107" t="str">
        <f>IFERROR(IF(H127="","",IF(B127=VLOOKUP(B127,Feriados[],2,0),(H127-D127)-(G127-E127),"")),"")</f>
        <v/>
      </c>
      <c r="N127" s="38" t="str">
        <f t="shared" si="8"/>
        <v>Seg</v>
      </c>
      <c r="O127" s="112">
        <f t="shared" si="9"/>
        <v>4.166666666666663E-2</v>
      </c>
      <c r="P127" s="113" t="str">
        <f>IF(B127=_xlfn.XLOOKUP(B127,Feriados[FE Oficial],Feriados[FE Talvez],"",0),"",IF(B127&lt;$T$1,"",IF(Q127="Consulta","",IF(Q127="Compensado","",IF(N127="Sáb","",IF(S127&lt;&gt;"",(S127-R127)-(($AB$1-O127)-(D127-$Z$4)),IF(O127&gt;$AB$1,O127-$AB$1,IF(C127&gt;$Z$4,C127-$Z$4,IF(AND(N127="Sex",G127&lt;&gt;"",H127=""),$Z$3-G127,IF(AND(G127&lt;&gt;"",H127=""),$Z$3-G127,IF(AND(N127="Sex",H127&lt;$Y$3),$Z$3-H127,IF(AND(N127&lt;&gt;"Sex",H127&gt;$AA$8),"",IF(AND(N127="Sex",H127&gt;$Z$8),"",IF(AND(N127&lt;&gt;"Sex",I127&gt;$Z$8),$Z$8-H127,IF(AND(N127&lt;&gt;"Sex",H127&lt;$Y$8),$Z$8-H127,"")))))))))))))))</f>
        <v/>
      </c>
      <c r="Q127" s="33"/>
      <c r="R127" s="33"/>
      <c r="S127" s="33"/>
    </row>
    <row r="128" spans="1:19" x14ac:dyDescent="0.25">
      <c r="A128" s="116" t="s">
        <v>175</v>
      </c>
      <c r="B128" s="32">
        <v>43837</v>
      </c>
      <c r="C128" s="39">
        <f t="shared" si="5"/>
        <v>0.33333333333333331</v>
      </c>
      <c r="D128" s="33">
        <v>0.33333333333333331</v>
      </c>
      <c r="E128" s="33">
        <v>0.5</v>
      </c>
      <c r="F128" s="39">
        <f t="shared" si="6"/>
        <v>0.54166666666666663</v>
      </c>
      <c r="G128" s="33">
        <v>0.54166666666666663</v>
      </c>
      <c r="H128" s="33">
        <v>0.75</v>
      </c>
      <c r="I128" s="39">
        <f>IFERROR(IF(B128=VLOOKUP(B128,Feriados[],2,0),H128,IF(N128="Sáb",H128,IF(AND(B128&lt;$T$1,H128&lt;=$AA$3),$Z$3,IF(AND(N128="Sex",H128&gt;$AA$3),H128,IF(H128&lt;=$AA$3,$Z$3,IF(H128&lt;=$AA$8,$Z$8,H128)))))),IF(N128="Sáb",H128,IF(AND(B128&lt;$T$1,H128&lt;=$AA$3),$Z$3,IF(AND(N128="Sex",H128&gt;$AA$3),H128,IF(H128&lt;=$AA$3,$Z$3,IF(H128&lt;=$AA$8,$Z$8,H128))))))</f>
        <v>0.75</v>
      </c>
      <c r="J128" s="33">
        <f t="shared" si="7"/>
        <v>0.37500000000000006</v>
      </c>
      <c r="K128" s="33">
        <f>IFERROR(IF(H128="","",IF(B128=VLOOKUP(B128,Feriados[],2,0),(H128-D128)-(G128-E128),IF(D128&lt;=$Y$4,(I128-D128)-(G128-E128),(I128-C128)-(F128-E128)))),IF(AND(D128&lt;=$Y$4,F128-E128=$AB$1),(I128-D128)-(F128-E128),IF(D128&lt;$Y$4,(I128-D128)-(G128-E128),(I128-C128)-(F128-E128))))</f>
        <v>0.37500000000000006</v>
      </c>
      <c r="L128" s="40" t="str">
        <f>IF(B128=_xlfn.XLOOKUP(B128,Feriados[FE Oficial],Feriados[FE Talvez],"",0),"",IF(Q128="Compensado","",IF(AND(N128="Sex",D128&lt;$Y$4),($Z$4-D128)+$AB$1-(F128-E128)+(I128-$Z$3),IF(AND(N128="Sex",I128&gt;$Z$3),($AB$1-(F128-E128))+(I128-$Z$3),IF(AND(N128="Sex",E128&lt;&gt;"",D128&lt;$Y$4),($Z$4-D128)+$AB$1-(F128-E128)+(I128-$Z$3),IF(N128="Sáb",(I128-D128)-(G128-E128)-(S128-R128),IF(AND(B128&lt;$T$1,I128&gt;$Z$3),H128-$Z$3,IF(D128&lt;$Y$4,($Z$4-D128)+($AB$1-(F128-E128))+(I128-$Z$8)+(S128-R128),IF(AND(S128&lt;&gt;"",D128&gt;$Z$4),(S128-R128)-($AB$1-(F128-E128)),IF(AND(S128&lt;&gt;"",D128&lt;$Y$4),(S128-R128)-($AB$1-(F128-E128)+($Z$4-D128)),IF(I128&gt;$Z$8,($AB$1-(F128-E128))+(I128-$Z$8),IF(AND(N128="Sex",(F128-E128)&lt;($AB$1-$W$1)),($AB$1-(F128-E128)),IF(AND(O128&gt;($AB$1-$W$1),D128&gt;$Z$4),"",IF(AND(B128&gt;=$T$1,(F128-E128)&gt;($AB$1-$W$1)),"",IF(AND(D128&gt;=$Y$4,I128=$Z$8,S128=""),($AB$1-(F128-E128)),IF(AND(P128&lt;&gt;"",S128&lt;&gt;""),I128-$Z$8,IF(AND(P128&lt;&gt;"",D128&gt;$Y$4),$AB$1-(F128-E128),"")))))))))))))))))</f>
        <v/>
      </c>
      <c r="M128" s="107" t="str">
        <f>IFERROR(IF(H128="","",IF(B128=VLOOKUP(B128,Feriados[],2,0),(H128-D128)-(G128-E128),"")),"")</f>
        <v/>
      </c>
      <c r="N128" s="38" t="str">
        <f t="shared" si="8"/>
        <v>Seg</v>
      </c>
      <c r="O128" s="112">
        <f t="shared" si="9"/>
        <v>4.166666666666663E-2</v>
      </c>
      <c r="P128" s="113" t="str">
        <f>IF(B128=_xlfn.XLOOKUP(B128,Feriados[FE Oficial],Feriados[FE Talvez],"",0),"",IF(B128&lt;$T$1,"",IF(Q128="Consulta","",IF(Q128="Compensado","",IF(N128="Sáb","",IF(S128&lt;&gt;"",(S128-R128)-(($AB$1-O128)-(D128-$Z$4)),IF(O128&gt;$AB$1,O128-$AB$1,IF(C128&gt;$Z$4,C128-$Z$4,IF(AND(N128="Sex",G128&lt;&gt;"",H128=""),$Z$3-G128,IF(AND(G128&lt;&gt;"",H128=""),$Z$3-G128,IF(AND(N128="Sex",H128&lt;$Y$3),$Z$3-H128,IF(AND(N128&lt;&gt;"Sex",H128&gt;$AA$8),"",IF(AND(N128="Sex",H128&gt;$Z$8),"",IF(AND(N128&lt;&gt;"Sex",I128&gt;$Z$8),$Z$8-H128,IF(AND(N128&lt;&gt;"Sex",H128&lt;$Y$8),$Z$8-H128,"")))))))))))))))</f>
        <v/>
      </c>
      <c r="Q128" s="33"/>
      <c r="R128" s="33"/>
      <c r="S128" s="33"/>
    </row>
    <row r="129" spans="1:19" x14ac:dyDescent="0.25">
      <c r="A129" s="116" t="s">
        <v>182</v>
      </c>
      <c r="B129" s="32">
        <v>43837</v>
      </c>
      <c r="C129" s="39">
        <f t="shared" si="5"/>
        <v>0.33333333333333331</v>
      </c>
      <c r="D129" s="33">
        <v>0.33333333333333331</v>
      </c>
      <c r="E129" s="33">
        <v>0.5</v>
      </c>
      <c r="F129" s="39">
        <f t="shared" si="6"/>
        <v>0.54166666666666663</v>
      </c>
      <c r="G129" s="33">
        <v>0.54166666666666663</v>
      </c>
      <c r="H129" s="33">
        <v>0.75</v>
      </c>
      <c r="I129" s="39">
        <f>IFERROR(IF(B129=VLOOKUP(B129,Feriados[],2,0),H129,IF(N129="Sáb",H129,IF(AND(B129&lt;$T$1,H129&lt;=$AA$3),$Z$3,IF(AND(N129="Sex",H129&gt;$AA$3),H129,IF(H129&lt;=$AA$3,$Z$3,IF(H129&lt;=$AA$8,$Z$8,H129)))))),IF(N129="Sáb",H129,IF(AND(B129&lt;$T$1,H129&lt;=$AA$3),$Z$3,IF(AND(N129="Sex",H129&gt;$AA$3),H129,IF(H129&lt;=$AA$3,$Z$3,IF(H129&lt;=$AA$8,$Z$8,H129))))))</f>
        <v>0.75</v>
      </c>
      <c r="J129" s="33">
        <f t="shared" si="7"/>
        <v>0.37500000000000006</v>
      </c>
      <c r="K129" s="33">
        <f>IFERROR(IF(H129="","",IF(B129=VLOOKUP(B129,Feriados[],2,0),(H129-D129)-(G129-E129),IF(D129&lt;=$Y$4,(I129-D129)-(G129-E129),(I129-C129)-(F129-E129)))),IF(AND(D129&lt;=$Y$4,F129-E129=$AB$1),(I129-D129)-(F129-E129),IF(D129&lt;$Y$4,(I129-D129)-(G129-E129),(I129-C129)-(F129-E129))))</f>
        <v>0.37500000000000006</v>
      </c>
      <c r="L129" s="40" t="str">
        <f>IF(B129=_xlfn.XLOOKUP(B129,Feriados[FE Oficial],Feriados[FE Talvez],"",0),"",IF(Q129="Compensado","",IF(AND(N129="Sex",D129&lt;$Y$4),($Z$4-D129)+$AB$1-(F129-E129)+(I129-$Z$3),IF(AND(N129="Sex",I129&gt;$Z$3),($AB$1-(F129-E129))+(I129-$Z$3),IF(AND(N129="Sex",E129&lt;&gt;"",D129&lt;$Y$4),($Z$4-D129)+$AB$1-(F129-E129)+(I129-$Z$3),IF(N129="Sáb",(I129-D129)-(G129-E129)-(S129-R129),IF(AND(B129&lt;$T$1,I129&gt;$Z$3),H129-$Z$3,IF(D129&lt;$Y$4,($Z$4-D129)+($AB$1-(F129-E129))+(I129-$Z$8)+(S129-R129),IF(AND(S129&lt;&gt;"",D129&gt;$Z$4),(S129-R129)-($AB$1-(F129-E129)),IF(AND(S129&lt;&gt;"",D129&lt;$Y$4),(S129-R129)-($AB$1-(F129-E129)+($Z$4-D129)),IF(I129&gt;$Z$8,($AB$1-(F129-E129))+(I129-$Z$8),IF(AND(N129="Sex",(F129-E129)&lt;($AB$1-$W$1)),($AB$1-(F129-E129)),IF(AND(O129&gt;($AB$1-$W$1),D129&gt;$Z$4),"",IF(AND(B129&gt;=$T$1,(F129-E129)&gt;($AB$1-$W$1)),"",IF(AND(D129&gt;=$Y$4,I129=$Z$8,S129=""),($AB$1-(F129-E129)),IF(AND(P129&lt;&gt;"",S129&lt;&gt;""),I129-$Z$8,IF(AND(P129&lt;&gt;"",D129&gt;$Y$4),$AB$1-(F129-E129),"")))))))))))))))))</f>
        <v/>
      </c>
      <c r="M129" s="107" t="str">
        <f>IFERROR(IF(H129="","",IF(B129=VLOOKUP(B129,Feriados[],2,0),(H129-D129)-(G129-E129),"")),"")</f>
        <v/>
      </c>
      <c r="N129" s="38" t="str">
        <f t="shared" si="8"/>
        <v>Seg</v>
      </c>
      <c r="O129" s="112">
        <f t="shared" si="9"/>
        <v>4.166666666666663E-2</v>
      </c>
      <c r="P129" s="113" t="str">
        <f>IF(B129=_xlfn.XLOOKUP(B129,Feriados[FE Oficial],Feriados[FE Talvez],"",0),"",IF(B129&lt;$T$1,"",IF(Q129="Consulta","",IF(Q129="Compensado","",IF(N129="Sáb","",IF(S129&lt;&gt;"",(S129-R129)-(($AB$1-O129)-(D129-$Z$4)),IF(O129&gt;$AB$1,O129-$AB$1,IF(C129&gt;$Z$4,C129-$Z$4,IF(AND(N129="Sex",G129&lt;&gt;"",H129=""),$Z$3-G129,IF(AND(G129&lt;&gt;"",H129=""),$Z$3-G129,IF(AND(N129="Sex",H129&lt;$Y$3),$Z$3-H129,IF(AND(N129&lt;&gt;"Sex",H129&gt;$AA$8),"",IF(AND(N129="Sex",H129&gt;$Z$8),"",IF(AND(N129&lt;&gt;"Sex",I129&gt;$Z$8),$Z$8-H129,IF(AND(N129&lt;&gt;"Sex",H129&lt;$Y$8),$Z$8-H129,"")))))))))))))))</f>
        <v/>
      </c>
      <c r="Q129" s="33"/>
      <c r="R129" s="33"/>
      <c r="S129" s="33"/>
    </row>
    <row r="130" spans="1:19" x14ac:dyDescent="0.25">
      <c r="A130" s="116" t="s">
        <v>194</v>
      </c>
      <c r="B130" s="32">
        <v>43838</v>
      </c>
      <c r="C130" s="39">
        <f t="shared" ref="C130:C193" si="10">IF(D130="","",IF(D130&lt;=$Y$4,$Z$4,IF(D130&lt;=$AA$4,$Z$4,D130)))</f>
        <v>0.33333333333333331</v>
      </c>
      <c r="D130" s="33">
        <v>0.29166666666666669</v>
      </c>
      <c r="E130" s="33">
        <v>0.5</v>
      </c>
      <c r="F130" s="39">
        <f t="shared" ref="F130:F193" si="11">IF(G130-E130&lt;=$X$1,G130,E130+$AB$1)</f>
        <v>0.54166666666666663</v>
      </c>
      <c r="G130" s="33">
        <v>0.54166666666666663</v>
      </c>
      <c r="H130" s="33">
        <v>0.75</v>
      </c>
      <c r="I130" s="39">
        <f>IFERROR(IF(B130=VLOOKUP(B130,Feriados[],2,0),H130,IF(N130="Sáb",H130,IF(AND(B130&lt;$T$1,H130&lt;=$AA$3),$Z$3,IF(AND(N130="Sex",H130&gt;$AA$3),H130,IF(H130&lt;=$AA$3,$Z$3,IF(H130&lt;=$AA$8,$Z$8,H130)))))),IF(N130="Sáb",H130,IF(AND(B130&lt;$T$1,H130&lt;=$AA$3),$Z$3,IF(AND(N130="Sex",H130&gt;$AA$3),H130,IF(H130&lt;=$AA$3,$Z$3,IF(H130&lt;=$AA$8,$Z$8,H130))))))</f>
        <v>0.75</v>
      </c>
      <c r="J130" s="33">
        <f t="shared" ref="J130:J193" si="12">IF((H130-D130)-(G130-E130)&lt;$AB$1,"",IF(AND(B130&lt;$T$1,(H130-D130)-(G130-E130)&gt;$Y$2),$Y$2,IF(AND(N130="Sex",(H130-D130)-(G130-E130)&gt;$Y$2),$Y$2,IF((H130-D130)-(G130-E130)&gt;$X$2,$X$2,(H130-D130)-(G130-E130)))))</f>
        <v>0.375</v>
      </c>
      <c r="K130" s="33">
        <f>IFERROR(IF(H130="","",IF(B130=VLOOKUP(B130,Feriados[],2,0),(H130-D130)-(G130-E130),IF(D130&lt;=$Y$4,(I130-D130)-(G130-E130),(I130-C130)-(F130-E130)))),IF(AND(D130&lt;=$Y$4,F130-E130=$AB$1),(I130-D130)-(F130-E130),IF(D130&lt;$Y$4,(I130-D130)-(G130-E130),(I130-C130)-(F130-E130))))</f>
        <v>0.41666666666666669</v>
      </c>
      <c r="L130" s="40">
        <f>IF(B130=_xlfn.XLOOKUP(B130,Feriados[FE Oficial],Feriados[FE Talvez],"",0),"",IF(Q130="Compensado","",IF(AND(N130="Sex",D130&lt;$Y$4),($Z$4-D130)+$AB$1-(F130-E130)+(I130-$Z$3),IF(AND(N130="Sex",I130&gt;$Z$3),($AB$1-(F130-E130))+(I130-$Z$3),IF(AND(N130="Sex",E130&lt;&gt;"",D130&lt;$Y$4),($Z$4-D130)+$AB$1-(F130-E130)+(I130-$Z$3),IF(N130="Sáb",(I130-D130)-(G130-E130)-(S130-R130),IF(AND(B130&lt;$T$1,I130&gt;$Z$3),H130-$Z$3,IF(D130&lt;$Y$4,($Z$4-D130)+($AB$1-(F130-E130))+(I130-$Z$8)+(S130-R130),IF(AND(S130&lt;&gt;"",D130&gt;$Z$4),(S130-R130)-($AB$1-(F130-E130)),IF(AND(S130&lt;&gt;"",D130&lt;$Y$4),(S130-R130)-($AB$1-(F130-E130)+($Z$4-D130)),IF(I130&gt;$Z$8,($AB$1-(F130-E130))+(I130-$Z$8),IF(AND(N130="Sex",(F130-E130)&lt;($AB$1-$W$1)),($AB$1-(F130-E130)),IF(AND(O130&gt;($AB$1-$W$1),D130&gt;$Z$4),"",IF(AND(B130&gt;=$T$1,(F130-E130)&gt;($AB$1-$W$1)),"",IF(AND(D130&gt;=$Y$4,I130=$Z$8,S130=""),($AB$1-(F130-E130)),IF(AND(P130&lt;&gt;"",S130&lt;&gt;""),I130-$Z$8,IF(AND(P130&lt;&gt;"",D130&gt;$Y$4),$AB$1-(F130-E130),"")))))))))))))))))</f>
        <v>4.1666666666666664E-2</v>
      </c>
      <c r="M130" s="107" t="str">
        <f>IFERROR(IF(H130="","",IF(B130=VLOOKUP(B130,Feriados[],2,0),(H130-D130)-(G130-E130),"")),"")</f>
        <v/>
      </c>
      <c r="N130" s="38" t="str">
        <f t="shared" ref="N130:N193" si="13">PROPER(TEXT(B130,"DDD"))</f>
        <v>Ter</v>
      </c>
      <c r="O130" s="112">
        <f t="shared" ref="O130:O193" si="14">G130-E130</f>
        <v>4.166666666666663E-2</v>
      </c>
      <c r="P130" s="113" t="str">
        <f>IF(B130=_xlfn.XLOOKUP(B130,Feriados[FE Oficial],Feriados[FE Talvez],"",0),"",IF(B130&lt;$T$1,"",IF(Q130="Consulta","",IF(Q130="Compensado","",IF(N130="Sáb","",IF(S130&lt;&gt;"",(S130-R130)-(($AB$1-O130)-(D130-$Z$4)),IF(O130&gt;$AB$1,O130-$AB$1,IF(C130&gt;$Z$4,C130-$Z$4,IF(AND(N130="Sex",G130&lt;&gt;"",H130=""),$Z$3-G130,IF(AND(G130&lt;&gt;"",H130=""),$Z$3-G130,IF(AND(N130="Sex",H130&lt;$Y$3),$Z$3-H130,IF(AND(N130&lt;&gt;"Sex",H130&gt;$AA$8),"",IF(AND(N130="Sex",H130&gt;$Z$8),"",IF(AND(N130&lt;&gt;"Sex",I130&gt;$Z$8),$Z$8-H130,IF(AND(N130&lt;&gt;"Sex",H130&lt;$Y$8),$Z$8-H130,"")))))))))))))))</f>
        <v/>
      </c>
      <c r="Q130" s="33"/>
      <c r="R130" s="33"/>
      <c r="S130" s="33"/>
    </row>
    <row r="131" spans="1:19" x14ac:dyDescent="0.25">
      <c r="A131" s="116" t="s">
        <v>191</v>
      </c>
      <c r="B131" s="32">
        <v>43838</v>
      </c>
      <c r="C131" s="39">
        <f t="shared" si="10"/>
        <v>0.33333333333333331</v>
      </c>
      <c r="D131" s="33">
        <v>0.33333333333333331</v>
      </c>
      <c r="E131" s="33">
        <v>0.5</v>
      </c>
      <c r="F131" s="39">
        <f t="shared" si="11"/>
        <v>0.54166666666666663</v>
      </c>
      <c r="G131" s="33">
        <v>0.54166666666666663</v>
      </c>
      <c r="H131" s="33">
        <v>0.75</v>
      </c>
      <c r="I131" s="39">
        <f>IFERROR(IF(B131=VLOOKUP(B131,Feriados[],2,0),H131,IF(N131="Sáb",H131,IF(AND(B131&lt;$T$1,H131&lt;=$AA$3),$Z$3,IF(AND(N131="Sex",H131&gt;$AA$3),H131,IF(H131&lt;=$AA$3,$Z$3,IF(H131&lt;=$AA$8,$Z$8,H131)))))),IF(N131="Sáb",H131,IF(AND(B131&lt;$T$1,H131&lt;=$AA$3),$Z$3,IF(AND(N131="Sex",H131&gt;$AA$3),H131,IF(H131&lt;=$AA$3,$Z$3,IF(H131&lt;=$AA$8,$Z$8,H131))))))</f>
        <v>0.75</v>
      </c>
      <c r="J131" s="33">
        <f t="shared" si="12"/>
        <v>0.37500000000000006</v>
      </c>
      <c r="K131" s="33">
        <f>IFERROR(IF(H131="","",IF(B131=VLOOKUP(B131,Feriados[],2,0),(H131-D131)-(G131-E131),IF(D131&lt;=$Y$4,(I131-D131)-(G131-E131),(I131-C131)-(F131-E131)))),IF(AND(D131&lt;=$Y$4,F131-E131=$AB$1),(I131-D131)-(F131-E131),IF(D131&lt;$Y$4,(I131-D131)-(G131-E131),(I131-C131)-(F131-E131))))</f>
        <v>0.37500000000000006</v>
      </c>
      <c r="L131" s="40" t="str">
        <f>IF(B131=_xlfn.XLOOKUP(B131,Feriados[FE Oficial],Feriados[FE Talvez],"",0),"",IF(Q131="Compensado","",IF(AND(N131="Sex",D131&lt;$Y$4),($Z$4-D131)+$AB$1-(F131-E131)+(I131-$Z$3),IF(AND(N131="Sex",I131&gt;$Z$3),($AB$1-(F131-E131))+(I131-$Z$3),IF(AND(N131="Sex",E131&lt;&gt;"",D131&lt;$Y$4),($Z$4-D131)+$AB$1-(F131-E131)+(I131-$Z$3),IF(N131="Sáb",(I131-D131)-(G131-E131)-(S131-R131),IF(AND(B131&lt;$T$1,I131&gt;$Z$3),H131-$Z$3,IF(D131&lt;$Y$4,($Z$4-D131)+($AB$1-(F131-E131))+(I131-$Z$8)+(S131-R131),IF(AND(S131&lt;&gt;"",D131&gt;$Z$4),(S131-R131)-($AB$1-(F131-E131)),IF(AND(S131&lt;&gt;"",D131&lt;$Y$4),(S131-R131)-($AB$1-(F131-E131)+($Z$4-D131)),IF(I131&gt;$Z$8,($AB$1-(F131-E131))+(I131-$Z$8),IF(AND(N131="Sex",(F131-E131)&lt;($AB$1-$W$1)),($AB$1-(F131-E131)),IF(AND(O131&gt;($AB$1-$W$1),D131&gt;$Z$4),"",IF(AND(B131&gt;=$T$1,(F131-E131)&gt;($AB$1-$W$1)),"",IF(AND(D131&gt;=$Y$4,I131=$Z$8,S131=""),($AB$1-(F131-E131)),IF(AND(P131&lt;&gt;"",S131&lt;&gt;""),I131-$Z$8,IF(AND(P131&lt;&gt;"",D131&gt;$Y$4),$AB$1-(F131-E131),"")))))))))))))))))</f>
        <v/>
      </c>
      <c r="M131" s="107" t="str">
        <f>IFERROR(IF(H131="","",IF(B131=VLOOKUP(B131,Feriados[],2,0),(H131-D131)-(G131-E131),"")),"")</f>
        <v/>
      </c>
      <c r="N131" s="38" t="str">
        <f t="shared" si="13"/>
        <v>Ter</v>
      </c>
      <c r="O131" s="112">
        <f t="shared" si="14"/>
        <v>4.166666666666663E-2</v>
      </c>
      <c r="P131" s="113" t="str">
        <f>IF(B131=_xlfn.XLOOKUP(B131,Feriados[FE Oficial],Feriados[FE Talvez],"",0),"",IF(B131&lt;$T$1,"",IF(Q131="Consulta","",IF(Q131="Compensado","",IF(N131="Sáb","",IF(S131&lt;&gt;"",(S131-R131)-(($AB$1-O131)-(D131-$Z$4)),IF(O131&gt;$AB$1,O131-$AB$1,IF(C131&gt;$Z$4,C131-$Z$4,IF(AND(N131="Sex",G131&lt;&gt;"",H131=""),$Z$3-G131,IF(AND(G131&lt;&gt;"",H131=""),$Z$3-G131,IF(AND(N131="Sex",H131&lt;$Y$3),$Z$3-H131,IF(AND(N131&lt;&gt;"Sex",H131&gt;$AA$8),"",IF(AND(N131="Sex",H131&gt;$Z$8),"",IF(AND(N131&lt;&gt;"Sex",I131&gt;$Z$8),$Z$8-H131,IF(AND(N131&lt;&gt;"Sex",H131&lt;$Y$8),$Z$8-H131,"")))))))))))))))</f>
        <v/>
      </c>
      <c r="Q131" s="33"/>
      <c r="R131" s="33"/>
      <c r="S131" s="33"/>
    </row>
    <row r="132" spans="1:19" x14ac:dyDescent="0.25">
      <c r="A132" s="116" t="s">
        <v>197</v>
      </c>
      <c r="B132" s="32">
        <v>43838</v>
      </c>
      <c r="C132" s="39">
        <f t="shared" si="10"/>
        <v>0.33333333333333331</v>
      </c>
      <c r="D132" s="33">
        <v>0.32569444444444445</v>
      </c>
      <c r="E132" s="33">
        <v>0.47916666666666669</v>
      </c>
      <c r="F132" s="39">
        <f t="shared" si="11"/>
        <v>0.52083333333333337</v>
      </c>
      <c r="G132" s="33">
        <v>0.52083333333333337</v>
      </c>
      <c r="H132" s="33">
        <v>0.75</v>
      </c>
      <c r="I132" s="39">
        <f>IFERROR(IF(B132=VLOOKUP(B132,Feriados[],2,0),H132,IF(N132="Sáb",H132,IF(AND(B132&lt;$T$1,H132&lt;=$AA$3),$Z$3,IF(AND(N132="Sex",H132&gt;$AA$3),H132,IF(H132&lt;=$AA$3,$Z$3,IF(H132&lt;=$AA$8,$Z$8,H132)))))),IF(N132="Sáb",H132,IF(AND(B132&lt;$T$1,H132&lt;=$AA$3),$Z$3,IF(AND(N132="Sex",H132&gt;$AA$3),H132,IF(H132&lt;=$AA$3,$Z$3,IF(H132&lt;=$AA$8,$Z$8,H132))))))</f>
        <v>0.75</v>
      </c>
      <c r="J132" s="33">
        <f t="shared" si="12"/>
        <v>0.375</v>
      </c>
      <c r="K132" s="33">
        <f>IFERROR(IF(H132="","",IF(B132=VLOOKUP(B132,Feriados[],2,0),(H132-D132)-(G132-E132),IF(D132&lt;=$Y$4,(I132-D132)-(G132-E132),(I132-C132)-(F132-E132)))),IF(AND(D132&lt;=$Y$4,F132-E132=$AB$1),(I132-D132)-(F132-E132),IF(D132&lt;$Y$4,(I132-D132)-(G132-E132),(I132-C132)-(F132-E132))))</f>
        <v>0.38263888888888886</v>
      </c>
      <c r="L132" s="40">
        <f>IF(B132=_xlfn.XLOOKUP(B132,Feriados[FE Oficial],Feriados[FE Talvez],"",0),"",IF(Q132="Compensado","",IF(AND(N132="Sex",D132&lt;$Y$4),($Z$4-D132)+$AB$1-(F132-E132)+(I132-$Z$3),IF(AND(N132="Sex",I132&gt;$Z$3),($AB$1-(F132-E132))+(I132-$Z$3),IF(AND(N132="Sex",E132&lt;&gt;"",D132&lt;$Y$4),($Z$4-D132)+$AB$1-(F132-E132)+(I132-$Z$3),IF(N132="Sáb",(I132-D132)-(G132-E132)-(S132-R132),IF(AND(B132&lt;$T$1,I132&gt;$Z$3),H132-$Z$3,IF(D132&lt;$Y$4,($Z$4-D132)+($AB$1-(F132-E132))+(I132-$Z$8)+(S132-R132),IF(AND(S132&lt;&gt;"",D132&gt;$Z$4),(S132-R132)-($AB$1-(F132-E132)),IF(AND(S132&lt;&gt;"",D132&lt;$Y$4),(S132-R132)-($AB$1-(F132-E132)+($Z$4-D132)),IF(I132&gt;$Z$8,($AB$1-(F132-E132))+(I132-$Z$8),IF(AND(N132="Sex",(F132-E132)&lt;($AB$1-$W$1)),($AB$1-(F132-E132)),IF(AND(O132&gt;($AB$1-$W$1),D132&gt;$Z$4),"",IF(AND(B132&gt;=$T$1,(F132-E132)&gt;($AB$1-$W$1)),"",IF(AND(D132&gt;=$Y$4,I132=$Z$8,S132=""),($AB$1-(F132-E132)),IF(AND(P132&lt;&gt;"",S132&lt;&gt;""),I132-$Z$8,IF(AND(P132&lt;&gt;"",D132&gt;$Y$4),$AB$1-(F132-E132),"")))))))))))))))))</f>
        <v>7.6388888888888409E-3</v>
      </c>
      <c r="M132" s="107" t="str">
        <f>IFERROR(IF(H132="","",IF(B132=VLOOKUP(B132,Feriados[],2,0),(H132-D132)-(G132-E132),"")),"")</f>
        <v/>
      </c>
      <c r="N132" s="38" t="str">
        <f t="shared" si="13"/>
        <v>Ter</v>
      </c>
      <c r="O132" s="112">
        <f t="shared" si="14"/>
        <v>4.1666666666666685E-2</v>
      </c>
      <c r="P132" s="113" t="str">
        <f>IF(B132=_xlfn.XLOOKUP(B132,Feriados[FE Oficial],Feriados[FE Talvez],"",0),"",IF(B132&lt;$T$1,"",IF(Q132="Consulta","",IF(Q132="Compensado","",IF(N132="Sáb","",IF(S132&lt;&gt;"",(S132-R132)-(($AB$1-O132)-(D132-$Z$4)),IF(O132&gt;$AB$1,O132-$AB$1,IF(C132&gt;$Z$4,C132-$Z$4,IF(AND(N132="Sex",G132&lt;&gt;"",H132=""),$Z$3-G132,IF(AND(G132&lt;&gt;"",H132=""),$Z$3-G132,IF(AND(N132="Sex",H132&lt;$Y$3),$Z$3-H132,IF(AND(N132&lt;&gt;"Sex",H132&gt;$AA$8),"",IF(AND(N132="Sex",H132&gt;$Z$8),"",IF(AND(N132&lt;&gt;"Sex",I132&gt;$Z$8),$Z$8-H132,IF(AND(N132&lt;&gt;"Sex",H132&lt;$Y$8),$Z$8-H132,"")))))))))))))))</f>
        <v/>
      </c>
      <c r="Q132" s="33"/>
      <c r="R132" s="33"/>
      <c r="S132" s="33"/>
    </row>
    <row r="133" spans="1:19" x14ac:dyDescent="0.25">
      <c r="A133" s="116" t="s">
        <v>190</v>
      </c>
      <c r="B133" s="32">
        <v>43838</v>
      </c>
      <c r="C133" s="39">
        <f t="shared" si="10"/>
        <v>0.33333333333333331</v>
      </c>
      <c r="D133" s="33">
        <v>0.33333333333333331</v>
      </c>
      <c r="E133" s="33">
        <v>0.47916666666666669</v>
      </c>
      <c r="F133" s="39">
        <f t="shared" si="11"/>
        <v>0.52083333333333337</v>
      </c>
      <c r="G133" s="33">
        <v>0.52083333333333337</v>
      </c>
      <c r="H133" s="33">
        <v>0.75</v>
      </c>
      <c r="I133" s="39">
        <f>IFERROR(IF(B133=VLOOKUP(B133,Feriados[],2,0),H133,IF(N133="Sáb",H133,IF(AND(B133&lt;$T$1,H133&lt;=$AA$3),$Z$3,IF(AND(N133="Sex",H133&gt;$AA$3),H133,IF(H133&lt;=$AA$3,$Z$3,IF(H133&lt;=$AA$8,$Z$8,H133)))))),IF(N133="Sáb",H133,IF(AND(B133&lt;$T$1,H133&lt;=$AA$3),$Z$3,IF(AND(N133="Sex",H133&gt;$AA$3),H133,IF(H133&lt;=$AA$3,$Z$3,IF(H133&lt;=$AA$8,$Z$8,H133))))))</f>
        <v>0.75</v>
      </c>
      <c r="J133" s="33">
        <f t="shared" si="12"/>
        <v>0.375</v>
      </c>
      <c r="K133" s="33">
        <f>IFERROR(IF(H133="","",IF(B133=VLOOKUP(B133,Feriados[],2,0),(H133-D133)-(G133-E133),IF(D133&lt;=$Y$4,(I133-D133)-(G133-E133),(I133-C133)-(F133-E133)))),IF(AND(D133&lt;=$Y$4,F133-E133=$AB$1),(I133-D133)-(F133-E133),IF(D133&lt;$Y$4,(I133-D133)-(G133-E133),(I133-C133)-(F133-E133))))</f>
        <v>0.375</v>
      </c>
      <c r="L133" s="40" t="str">
        <f>IF(B133=_xlfn.XLOOKUP(B133,Feriados[FE Oficial],Feriados[FE Talvez],"",0),"",IF(Q133="Compensado","",IF(AND(N133="Sex",D133&lt;$Y$4),($Z$4-D133)+$AB$1-(F133-E133)+(I133-$Z$3),IF(AND(N133="Sex",I133&gt;$Z$3),($AB$1-(F133-E133))+(I133-$Z$3),IF(AND(N133="Sex",E133&lt;&gt;"",D133&lt;$Y$4),($Z$4-D133)+$AB$1-(F133-E133)+(I133-$Z$3),IF(N133="Sáb",(I133-D133)-(G133-E133)-(S133-R133),IF(AND(B133&lt;$T$1,I133&gt;$Z$3),H133-$Z$3,IF(D133&lt;$Y$4,($Z$4-D133)+($AB$1-(F133-E133))+(I133-$Z$8)+(S133-R133),IF(AND(S133&lt;&gt;"",D133&gt;$Z$4),(S133-R133)-($AB$1-(F133-E133)),IF(AND(S133&lt;&gt;"",D133&lt;$Y$4),(S133-R133)-($AB$1-(F133-E133)+($Z$4-D133)),IF(I133&gt;$Z$8,($AB$1-(F133-E133))+(I133-$Z$8),IF(AND(N133="Sex",(F133-E133)&lt;($AB$1-$W$1)),($AB$1-(F133-E133)),IF(AND(O133&gt;($AB$1-$W$1),D133&gt;$Z$4),"",IF(AND(B133&gt;=$T$1,(F133-E133)&gt;($AB$1-$W$1)),"",IF(AND(D133&gt;=$Y$4,I133=$Z$8,S133=""),($AB$1-(F133-E133)),IF(AND(P133&lt;&gt;"",S133&lt;&gt;""),I133-$Z$8,IF(AND(P133&lt;&gt;"",D133&gt;$Y$4),$AB$1-(F133-E133),"")))))))))))))))))</f>
        <v/>
      </c>
      <c r="M133" s="107" t="str">
        <f>IFERROR(IF(H133="","",IF(B133=VLOOKUP(B133,Feriados[],2,0),(H133-D133)-(G133-E133),"")),"")</f>
        <v/>
      </c>
      <c r="N133" s="38" t="str">
        <f t="shared" si="13"/>
        <v>Ter</v>
      </c>
      <c r="O133" s="112">
        <f t="shared" si="14"/>
        <v>4.1666666666666685E-2</v>
      </c>
      <c r="P133" s="113" t="str">
        <f>IF(B133=_xlfn.XLOOKUP(B133,Feriados[FE Oficial],Feriados[FE Talvez],"",0),"",IF(B133&lt;$T$1,"",IF(Q133="Consulta","",IF(Q133="Compensado","",IF(N133="Sáb","",IF(S133&lt;&gt;"",(S133-R133)-(($AB$1-O133)-(D133-$Z$4)),IF(O133&gt;$AB$1,O133-$AB$1,IF(C133&gt;$Z$4,C133-$Z$4,IF(AND(N133="Sex",G133&lt;&gt;"",H133=""),$Z$3-G133,IF(AND(G133&lt;&gt;"",H133=""),$Z$3-G133,IF(AND(N133="Sex",H133&lt;$Y$3),$Z$3-H133,IF(AND(N133&lt;&gt;"Sex",H133&gt;$AA$8),"",IF(AND(N133="Sex",H133&gt;$Z$8),"",IF(AND(N133&lt;&gt;"Sex",I133&gt;$Z$8),$Z$8-H133,IF(AND(N133&lt;&gt;"Sex",H133&lt;$Y$8),$Z$8-H133,"")))))))))))))))</f>
        <v/>
      </c>
      <c r="Q133" s="33"/>
      <c r="R133" s="33"/>
      <c r="S133" s="33"/>
    </row>
    <row r="134" spans="1:19" x14ac:dyDescent="0.25">
      <c r="A134" s="116" t="s">
        <v>175</v>
      </c>
      <c r="B134" s="32">
        <v>43838</v>
      </c>
      <c r="C134" s="39">
        <f t="shared" si="10"/>
        <v>0.33333333333333331</v>
      </c>
      <c r="D134" s="33">
        <v>0.33333333333333331</v>
      </c>
      <c r="E134" s="33">
        <v>0.5</v>
      </c>
      <c r="F134" s="39">
        <f t="shared" si="11"/>
        <v>0.54166666666666663</v>
      </c>
      <c r="G134" s="33">
        <v>0.54166666666666663</v>
      </c>
      <c r="H134" s="33">
        <v>0.75</v>
      </c>
      <c r="I134" s="39">
        <f>IFERROR(IF(B134=VLOOKUP(B134,Feriados[],2,0),H134,IF(N134="Sáb",H134,IF(AND(B134&lt;$T$1,H134&lt;=$AA$3),$Z$3,IF(AND(N134="Sex",H134&gt;$AA$3),H134,IF(H134&lt;=$AA$3,$Z$3,IF(H134&lt;=$AA$8,$Z$8,H134)))))),IF(N134="Sáb",H134,IF(AND(B134&lt;$T$1,H134&lt;=$AA$3),$Z$3,IF(AND(N134="Sex",H134&gt;$AA$3),H134,IF(H134&lt;=$AA$3,$Z$3,IF(H134&lt;=$AA$8,$Z$8,H134))))))</f>
        <v>0.75</v>
      </c>
      <c r="J134" s="33">
        <f t="shared" si="12"/>
        <v>0.37500000000000006</v>
      </c>
      <c r="K134" s="33">
        <f>IFERROR(IF(H134="","",IF(B134=VLOOKUP(B134,Feriados[],2,0),(H134-D134)-(G134-E134),IF(D134&lt;=$Y$4,(I134-D134)-(G134-E134),(I134-C134)-(F134-E134)))),IF(AND(D134&lt;=$Y$4,F134-E134=$AB$1),(I134-D134)-(F134-E134),IF(D134&lt;$Y$4,(I134-D134)-(G134-E134),(I134-C134)-(F134-E134))))</f>
        <v>0.37500000000000006</v>
      </c>
      <c r="L134" s="40" t="str">
        <f>IF(B134=_xlfn.XLOOKUP(B134,Feriados[FE Oficial],Feriados[FE Talvez],"",0),"",IF(Q134="Compensado","",IF(AND(N134="Sex",D134&lt;$Y$4),($Z$4-D134)+$AB$1-(F134-E134)+(I134-$Z$3),IF(AND(N134="Sex",I134&gt;$Z$3),($AB$1-(F134-E134))+(I134-$Z$3),IF(AND(N134="Sex",E134&lt;&gt;"",D134&lt;$Y$4),($Z$4-D134)+$AB$1-(F134-E134)+(I134-$Z$3),IF(N134="Sáb",(I134-D134)-(G134-E134)-(S134-R134),IF(AND(B134&lt;$T$1,I134&gt;$Z$3),H134-$Z$3,IF(D134&lt;$Y$4,($Z$4-D134)+($AB$1-(F134-E134))+(I134-$Z$8)+(S134-R134),IF(AND(S134&lt;&gt;"",D134&gt;$Z$4),(S134-R134)-($AB$1-(F134-E134)),IF(AND(S134&lt;&gt;"",D134&lt;$Y$4),(S134-R134)-($AB$1-(F134-E134)+($Z$4-D134)),IF(I134&gt;$Z$8,($AB$1-(F134-E134))+(I134-$Z$8),IF(AND(N134="Sex",(F134-E134)&lt;($AB$1-$W$1)),($AB$1-(F134-E134)),IF(AND(O134&gt;($AB$1-$W$1),D134&gt;$Z$4),"",IF(AND(B134&gt;=$T$1,(F134-E134)&gt;($AB$1-$W$1)),"",IF(AND(D134&gt;=$Y$4,I134=$Z$8,S134=""),($AB$1-(F134-E134)),IF(AND(P134&lt;&gt;"",S134&lt;&gt;""),I134-$Z$8,IF(AND(P134&lt;&gt;"",D134&gt;$Y$4),$AB$1-(F134-E134),"")))))))))))))))))</f>
        <v/>
      </c>
      <c r="M134" s="107" t="str">
        <f>IFERROR(IF(H134="","",IF(B134=VLOOKUP(B134,Feriados[],2,0),(H134-D134)-(G134-E134),"")),"")</f>
        <v/>
      </c>
      <c r="N134" s="38" t="str">
        <f t="shared" si="13"/>
        <v>Ter</v>
      </c>
      <c r="O134" s="112">
        <f t="shared" si="14"/>
        <v>4.166666666666663E-2</v>
      </c>
      <c r="P134" s="113" t="str">
        <f>IF(B134=_xlfn.XLOOKUP(B134,Feriados[FE Oficial],Feriados[FE Talvez],"",0),"",IF(B134&lt;$T$1,"",IF(Q134="Consulta","",IF(Q134="Compensado","",IF(N134="Sáb","",IF(S134&lt;&gt;"",(S134-R134)-(($AB$1-O134)-(D134-$Z$4)),IF(O134&gt;$AB$1,O134-$AB$1,IF(C134&gt;$Z$4,C134-$Z$4,IF(AND(N134="Sex",G134&lt;&gt;"",H134=""),$Z$3-G134,IF(AND(G134&lt;&gt;"",H134=""),$Z$3-G134,IF(AND(N134="Sex",H134&lt;$Y$3),$Z$3-H134,IF(AND(N134&lt;&gt;"Sex",H134&gt;$AA$8),"",IF(AND(N134="Sex",H134&gt;$Z$8),"",IF(AND(N134&lt;&gt;"Sex",I134&gt;$Z$8),$Z$8-H134,IF(AND(N134&lt;&gt;"Sex",H134&lt;$Y$8),$Z$8-H134,"")))))))))))))))</f>
        <v/>
      </c>
      <c r="Q134" s="33"/>
      <c r="R134" s="33"/>
      <c r="S134" s="33"/>
    </row>
    <row r="135" spans="1:19" x14ac:dyDescent="0.25">
      <c r="A135" s="116" t="s">
        <v>182</v>
      </c>
      <c r="B135" s="32">
        <v>43838</v>
      </c>
      <c r="C135" s="39">
        <f t="shared" si="10"/>
        <v>0.33333333333333331</v>
      </c>
      <c r="D135" s="33">
        <v>0.33958333333333335</v>
      </c>
      <c r="E135" s="33">
        <v>0.5</v>
      </c>
      <c r="F135" s="39">
        <f t="shared" si="11"/>
        <v>0.54166666666666663</v>
      </c>
      <c r="G135" s="33">
        <v>0.54166666666666663</v>
      </c>
      <c r="H135" s="33">
        <v>0.75</v>
      </c>
      <c r="I135" s="39">
        <f>IFERROR(IF(B135=VLOOKUP(B135,Feriados[],2,0),H135,IF(N135="Sáb",H135,IF(AND(B135&lt;$T$1,H135&lt;=$AA$3),$Z$3,IF(AND(N135="Sex",H135&gt;$AA$3),H135,IF(H135&lt;=$AA$3,$Z$3,IF(H135&lt;=$AA$8,$Z$8,H135)))))),IF(N135="Sáb",H135,IF(AND(B135&lt;$T$1,H135&lt;=$AA$3),$Z$3,IF(AND(N135="Sex",H135&gt;$AA$3),H135,IF(H135&lt;=$AA$3,$Z$3,IF(H135&lt;=$AA$8,$Z$8,H135))))))</f>
        <v>0.75</v>
      </c>
      <c r="J135" s="33">
        <f t="shared" si="12"/>
        <v>0.36875000000000002</v>
      </c>
      <c r="K135" s="33">
        <f>IFERROR(IF(H135="","",IF(B135=VLOOKUP(B135,Feriados[],2,0),(H135-D135)-(G135-E135),IF(D135&lt;=$Y$4,(I135-D135)-(G135-E135),(I135-C135)-(F135-E135)))),IF(AND(D135&lt;=$Y$4,F135-E135=$AB$1),(I135-D135)-(F135-E135),IF(D135&lt;$Y$4,(I135-D135)-(G135-E135),(I135-C135)-(F135-E135))))</f>
        <v>0.37500000000000006</v>
      </c>
      <c r="L135" s="40" t="str">
        <f>IF(B135=_xlfn.XLOOKUP(B135,Feriados[FE Oficial],Feriados[FE Talvez],"",0),"",IF(Q135="Compensado","",IF(AND(N135="Sex",D135&lt;$Y$4),($Z$4-D135)+$AB$1-(F135-E135)+(I135-$Z$3),IF(AND(N135="Sex",I135&gt;$Z$3),($AB$1-(F135-E135))+(I135-$Z$3),IF(AND(N135="Sex",E135&lt;&gt;"",D135&lt;$Y$4),($Z$4-D135)+$AB$1-(F135-E135)+(I135-$Z$3),IF(N135="Sáb",(I135-D135)-(G135-E135)-(S135-R135),IF(AND(B135&lt;$T$1,I135&gt;$Z$3),H135-$Z$3,IF(D135&lt;$Y$4,($Z$4-D135)+($AB$1-(F135-E135))+(I135-$Z$8)+(S135-R135),IF(AND(S135&lt;&gt;"",D135&gt;$Z$4),(S135-R135)-($AB$1-(F135-E135)),IF(AND(S135&lt;&gt;"",D135&lt;$Y$4),(S135-R135)-($AB$1-(F135-E135)+($Z$4-D135)),IF(I135&gt;$Z$8,($AB$1-(F135-E135))+(I135-$Z$8),IF(AND(N135="Sex",(F135-E135)&lt;($AB$1-$W$1)),($AB$1-(F135-E135)),IF(AND(O135&gt;($AB$1-$W$1),D135&gt;$Z$4),"",IF(AND(B135&gt;=$T$1,(F135-E135)&gt;($AB$1-$W$1)),"",IF(AND(D135&gt;=$Y$4,I135=$Z$8,S135=""),($AB$1-(F135-E135)),IF(AND(P135&lt;&gt;"",S135&lt;&gt;""),I135-$Z$8,IF(AND(P135&lt;&gt;"",D135&gt;$Y$4),$AB$1-(F135-E135),"")))))))))))))))))</f>
        <v/>
      </c>
      <c r="M135" s="107" t="str">
        <f>IFERROR(IF(H135="","",IF(B135=VLOOKUP(B135,Feriados[],2,0),(H135-D135)-(G135-E135),"")),"")</f>
        <v/>
      </c>
      <c r="N135" s="38" t="str">
        <f t="shared" si="13"/>
        <v>Ter</v>
      </c>
      <c r="O135" s="112">
        <f t="shared" si="14"/>
        <v>4.166666666666663E-2</v>
      </c>
      <c r="P135" s="113" t="str">
        <f>IF(B135=_xlfn.XLOOKUP(B135,Feriados[FE Oficial],Feriados[FE Talvez],"",0),"",IF(B135&lt;$T$1,"",IF(Q135="Consulta","",IF(Q135="Compensado","",IF(N135="Sáb","",IF(S135&lt;&gt;"",(S135-R135)-(($AB$1-O135)-(D135-$Z$4)),IF(O135&gt;$AB$1,O135-$AB$1,IF(C135&gt;$Z$4,C135-$Z$4,IF(AND(N135="Sex",G135&lt;&gt;"",H135=""),$Z$3-G135,IF(AND(G135&lt;&gt;"",H135=""),$Z$3-G135,IF(AND(N135="Sex",H135&lt;$Y$3),$Z$3-H135,IF(AND(N135&lt;&gt;"Sex",H135&gt;$AA$8),"",IF(AND(N135="Sex",H135&gt;$Z$8),"",IF(AND(N135&lt;&gt;"Sex",I135&gt;$Z$8),$Z$8-H135,IF(AND(N135&lt;&gt;"Sex",H135&lt;$Y$8),$Z$8-H135,"")))))))))))))))</f>
        <v/>
      </c>
      <c r="Q135" s="33"/>
      <c r="R135" s="33"/>
      <c r="S135" s="33"/>
    </row>
    <row r="136" spans="1:19" x14ac:dyDescent="0.25">
      <c r="A136" s="116" t="s">
        <v>194</v>
      </c>
      <c r="B136" s="32">
        <v>43839</v>
      </c>
      <c r="C136" s="39">
        <f t="shared" si="10"/>
        <v>0.33333333333333331</v>
      </c>
      <c r="D136" s="33">
        <v>0.29166666666666669</v>
      </c>
      <c r="E136" s="33">
        <v>0.5</v>
      </c>
      <c r="F136" s="39">
        <f t="shared" si="11"/>
        <v>0.54166666666666663</v>
      </c>
      <c r="G136" s="33">
        <v>0.54166666666666663</v>
      </c>
      <c r="H136" s="33">
        <v>0.75</v>
      </c>
      <c r="I136" s="39">
        <f>IFERROR(IF(B136=VLOOKUP(B136,Feriados[],2,0),H136,IF(N136="Sáb",H136,IF(AND(B136&lt;$T$1,H136&lt;=$AA$3),$Z$3,IF(AND(N136="Sex",H136&gt;$AA$3),H136,IF(H136&lt;=$AA$3,$Z$3,IF(H136&lt;=$AA$8,$Z$8,H136)))))),IF(N136="Sáb",H136,IF(AND(B136&lt;$T$1,H136&lt;=$AA$3),$Z$3,IF(AND(N136="Sex",H136&gt;$AA$3),H136,IF(H136&lt;=$AA$3,$Z$3,IF(H136&lt;=$AA$8,$Z$8,H136))))))</f>
        <v>0.75</v>
      </c>
      <c r="J136" s="33">
        <f t="shared" si="12"/>
        <v>0.375</v>
      </c>
      <c r="K136" s="33">
        <f>IFERROR(IF(H136="","",IF(B136=VLOOKUP(B136,Feriados[],2,0),(H136-D136)-(G136-E136),IF(D136&lt;=$Y$4,(I136-D136)-(G136-E136),(I136-C136)-(F136-E136)))),IF(AND(D136&lt;=$Y$4,F136-E136=$AB$1),(I136-D136)-(F136-E136),IF(D136&lt;$Y$4,(I136-D136)-(G136-E136),(I136-C136)-(F136-E136))))</f>
        <v>0.41666666666666669</v>
      </c>
      <c r="L136" s="40">
        <f>IF(B136=_xlfn.XLOOKUP(B136,Feriados[FE Oficial],Feriados[FE Talvez],"",0),"",IF(Q136="Compensado","",IF(AND(N136="Sex",D136&lt;$Y$4),($Z$4-D136)+$AB$1-(F136-E136)+(I136-$Z$3),IF(AND(N136="Sex",I136&gt;$Z$3),($AB$1-(F136-E136))+(I136-$Z$3),IF(AND(N136="Sex",E136&lt;&gt;"",D136&lt;$Y$4),($Z$4-D136)+$AB$1-(F136-E136)+(I136-$Z$3),IF(N136="Sáb",(I136-D136)-(G136-E136)-(S136-R136),IF(AND(B136&lt;$T$1,I136&gt;$Z$3),H136-$Z$3,IF(D136&lt;$Y$4,($Z$4-D136)+($AB$1-(F136-E136))+(I136-$Z$8)+(S136-R136),IF(AND(S136&lt;&gt;"",D136&gt;$Z$4),(S136-R136)-($AB$1-(F136-E136)),IF(AND(S136&lt;&gt;"",D136&lt;$Y$4),(S136-R136)-($AB$1-(F136-E136)+($Z$4-D136)),IF(I136&gt;$Z$8,($AB$1-(F136-E136))+(I136-$Z$8),IF(AND(N136="Sex",(F136-E136)&lt;($AB$1-$W$1)),($AB$1-(F136-E136)),IF(AND(O136&gt;($AB$1-$W$1),D136&gt;$Z$4),"",IF(AND(B136&gt;=$T$1,(F136-E136)&gt;($AB$1-$W$1)),"",IF(AND(D136&gt;=$Y$4,I136=$Z$8,S136=""),($AB$1-(F136-E136)),IF(AND(P136&lt;&gt;"",S136&lt;&gt;""),I136-$Z$8,IF(AND(P136&lt;&gt;"",D136&gt;$Y$4),$AB$1-(F136-E136),"")))))))))))))))))</f>
        <v>4.1666666666666664E-2</v>
      </c>
      <c r="M136" s="107" t="str">
        <f>IFERROR(IF(H136="","",IF(B136=VLOOKUP(B136,Feriados[],2,0),(H136-D136)-(G136-E136),"")),"")</f>
        <v/>
      </c>
      <c r="N136" s="38" t="str">
        <f t="shared" si="13"/>
        <v>Qua</v>
      </c>
      <c r="O136" s="112">
        <f t="shared" si="14"/>
        <v>4.166666666666663E-2</v>
      </c>
      <c r="P136" s="113" t="str">
        <f>IF(B136=_xlfn.XLOOKUP(B136,Feriados[FE Oficial],Feriados[FE Talvez],"",0),"",IF(B136&lt;$T$1,"",IF(Q136="Consulta","",IF(Q136="Compensado","",IF(N136="Sáb","",IF(S136&lt;&gt;"",(S136-R136)-(($AB$1-O136)-(D136-$Z$4)),IF(O136&gt;$AB$1,O136-$AB$1,IF(C136&gt;$Z$4,C136-$Z$4,IF(AND(N136="Sex",G136&lt;&gt;"",H136=""),$Z$3-G136,IF(AND(G136&lt;&gt;"",H136=""),$Z$3-G136,IF(AND(N136="Sex",H136&lt;$Y$3),$Z$3-H136,IF(AND(N136&lt;&gt;"Sex",H136&gt;$AA$8),"",IF(AND(N136="Sex",H136&gt;$Z$8),"",IF(AND(N136&lt;&gt;"Sex",I136&gt;$Z$8),$Z$8-H136,IF(AND(N136&lt;&gt;"Sex",H136&lt;$Y$8),$Z$8-H136,"")))))))))))))))</f>
        <v/>
      </c>
      <c r="Q136" s="33"/>
      <c r="R136" s="33"/>
      <c r="S136" s="33"/>
    </row>
    <row r="137" spans="1:19" x14ac:dyDescent="0.25">
      <c r="A137" s="116" t="s">
        <v>191</v>
      </c>
      <c r="B137" s="32">
        <v>43839</v>
      </c>
      <c r="C137" s="39">
        <f t="shared" si="10"/>
        <v>0.33333333333333331</v>
      </c>
      <c r="D137" s="33">
        <v>0.33333333333333331</v>
      </c>
      <c r="E137" s="33">
        <v>0.5</v>
      </c>
      <c r="F137" s="39">
        <f t="shared" si="11"/>
        <v>0.54166666666666663</v>
      </c>
      <c r="G137" s="33">
        <v>0.54166666666666663</v>
      </c>
      <c r="H137" s="33">
        <v>0.75</v>
      </c>
      <c r="I137" s="39">
        <f>IFERROR(IF(B137=VLOOKUP(B137,Feriados[],2,0),H137,IF(N137="Sáb",H137,IF(AND(B137&lt;$T$1,H137&lt;=$AA$3),$Z$3,IF(AND(N137="Sex",H137&gt;$AA$3),H137,IF(H137&lt;=$AA$3,$Z$3,IF(H137&lt;=$AA$8,$Z$8,H137)))))),IF(N137="Sáb",H137,IF(AND(B137&lt;$T$1,H137&lt;=$AA$3),$Z$3,IF(AND(N137="Sex",H137&gt;$AA$3),H137,IF(H137&lt;=$AA$3,$Z$3,IF(H137&lt;=$AA$8,$Z$8,H137))))))</f>
        <v>0.75</v>
      </c>
      <c r="J137" s="33">
        <f t="shared" si="12"/>
        <v>0.37500000000000006</v>
      </c>
      <c r="K137" s="33">
        <f>IFERROR(IF(H137="","",IF(B137=VLOOKUP(B137,Feriados[],2,0),(H137-D137)-(G137-E137),IF(D137&lt;=$Y$4,(I137-D137)-(G137-E137),(I137-C137)-(F137-E137)))),IF(AND(D137&lt;=$Y$4,F137-E137=$AB$1),(I137-D137)-(F137-E137),IF(D137&lt;$Y$4,(I137-D137)-(G137-E137),(I137-C137)-(F137-E137))))</f>
        <v>0.37500000000000006</v>
      </c>
      <c r="L137" s="40" t="str">
        <f>IF(B137=_xlfn.XLOOKUP(B137,Feriados[FE Oficial],Feriados[FE Talvez],"",0),"",IF(Q137="Compensado","",IF(AND(N137="Sex",D137&lt;$Y$4),($Z$4-D137)+$AB$1-(F137-E137)+(I137-$Z$3),IF(AND(N137="Sex",I137&gt;$Z$3),($AB$1-(F137-E137))+(I137-$Z$3),IF(AND(N137="Sex",E137&lt;&gt;"",D137&lt;$Y$4),($Z$4-D137)+$AB$1-(F137-E137)+(I137-$Z$3),IF(N137="Sáb",(I137-D137)-(G137-E137)-(S137-R137),IF(AND(B137&lt;$T$1,I137&gt;$Z$3),H137-$Z$3,IF(D137&lt;$Y$4,($Z$4-D137)+($AB$1-(F137-E137))+(I137-$Z$8)+(S137-R137),IF(AND(S137&lt;&gt;"",D137&gt;$Z$4),(S137-R137)-($AB$1-(F137-E137)),IF(AND(S137&lt;&gt;"",D137&lt;$Y$4),(S137-R137)-($AB$1-(F137-E137)+($Z$4-D137)),IF(I137&gt;$Z$8,($AB$1-(F137-E137))+(I137-$Z$8),IF(AND(N137="Sex",(F137-E137)&lt;($AB$1-$W$1)),($AB$1-(F137-E137)),IF(AND(O137&gt;($AB$1-$W$1),D137&gt;$Z$4),"",IF(AND(B137&gt;=$T$1,(F137-E137)&gt;($AB$1-$W$1)),"",IF(AND(D137&gt;=$Y$4,I137=$Z$8,S137=""),($AB$1-(F137-E137)),IF(AND(P137&lt;&gt;"",S137&lt;&gt;""),I137-$Z$8,IF(AND(P137&lt;&gt;"",D137&gt;$Y$4),$AB$1-(F137-E137),"")))))))))))))))))</f>
        <v/>
      </c>
      <c r="M137" s="107" t="str">
        <f>IFERROR(IF(H137="","",IF(B137=VLOOKUP(B137,Feriados[],2,0),(H137-D137)-(G137-E137),"")),"")</f>
        <v/>
      </c>
      <c r="N137" s="38" t="str">
        <f t="shared" si="13"/>
        <v>Qua</v>
      </c>
      <c r="O137" s="112">
        <f t="shared" si="14"/>
        <v>4.166666666666663E-2</v>
      </c>
      <c r="P137" s="113" t="str">
        <f>IF(B137=_xlfn.XLOOKUP(B137,Feriados[FE Oficial],Feriados[FE Talvez],"",0),"",IF(B137&lt;$T$1,"",IF(Q137="Consulta","",IF(Q137="Compensado","",IF(N137="Sáb","",IF(S137&lt;&gt;"",(S137-R137)-(($AB$1-O137)-(D137-$Z$4)),IF(O137&gt;$AB$1,O137-$AB$1,IF(C137&gt;$Z$4,C137-$Z$4,IF(AND(N137="Sex",G137&lt;&gt;"",H137=""),$Z$3-G137,IF(AND(G137&lt;&gt;"",H137=""),$Z$3-G137,IF(AND(N137="Sex",H137&lt;$Y$3),$Z$3-H137,IF(AND(N137&lt;&gt;"Sex",H137&gt;$AA$8),"",IF(AND(N137="Sex",H137&gt;$Z$8),"",IF(AND(N137&lt;&gt;"Sex",I137&gt;$Z$8),$Z$8-H137,IF(AND(N137&lt;&gt;"Sex",H137&lt;$Y$8),$Z$8-H137,"")))))))))))))))</f>
        <v/>
      </c>
      <c r="Q137" s="33"/>
      <c r="R137" s="33"/>
      <c r="S137" s="33"/>
    </row>
    <row r="138" spans="1:19" x14ac:dyDescent="0.25">
      <c r="A138" s="116" t="s">
        <v>197</v>
      </c>
      <c r="B138" s="32">
        <v>43839</v>
      </c>
      <c r="C138" s="39">
        <f t="shared" si="10"/>
        <v>0.33333333333333331</v>
      </c>
      <c r="D138" s="33">
        <v>0.32569444444444445</v>
      </c>
      <c r="E138" s="33">
        <v>0.5</v>
      </c>
      <c r="F138" s="39">
        <f t="shared" si="11"/>
        <v>0.54166666666666663</v>
      </c>
      <c r="G138" s="33">
        <v>0.54166666666666663</v>
      </c>
      <c r="H138" s="33">
        <v>0.75</v>
      </c>
      <c r="I138" s="39">
        <f>IFERROR(IF(B138=VLOOKUP(B138,Feriados[],2,0),H138,IF(N138="Sáb",H138,IF(AND(B138&lt;$T$1,H138&lt;=$AA$3),$Z$3,IF(AND(N138="Sex",H138&gt;$AA$3),H138,IF(H138&lt;=$AA$3,$Z$3,IF(H138&lt;=$AA$8,$Z$8,H138)))))),IF(N138="Sáb",H138,IF(AND(B138&lt;$T$1,H138&lt;=$AA$3),$Z$3,IF(AND(N138="Sex",H138&gt;$AA$3),H138,IF(H138&lt;=$AA$3,$Z$3,IF(H138&lt;=$AA$8,$Z$8,H138))))))</f>
        <v>0.75</v>
      </c>
      <c r="J138" s="33">
        <f t="shared" si="12"/>
        <v>0.375</v>
      </c>
      <c r="K138" s="33">
        <f>IFERROR(IF(H138="","",IF(B138=VLOOKUP(B138,Feriados[],2,0),(H138-D138)-(G138-E138),IF(D138&lt;=$Y$4,(I138-D138)-(G138-E138),(I138-C138)-(F138-E138)))),IF(AND(D138&lt;=$Y$4,F138-E138=$AB$1),(I138-D138)-(F138-E138),IF(D138&lt;$Y$4,(I138-D138)-(G138-E138),(I138-C138)-(F138-E138))))</f>
        <v>0.38263888888888892</v>
      </c>
      <c r="L138" s="40">
        <f>IF(B138=_xlfn.XLOOKUP(B138,Feriados[FE Oficial],Feriados[FE Talvez],"",0),"",IF(Q138="Compensado","",IF(AND(N138="Sex",D138&lt;$Y$4),($Z$4-D138)+$AB$1-(F138-E138)+(I138-$Z$3),IF(AND(N138="Sex",I138&gt;$Z$3),($AB$1-(F138-E138))+(I138-$Z$3),IF(AND(N138="Sex",E138&lt;&gt;"",D138&lt;$Y$4),($Z$4-D138)+$AB$1-(F138-E138)+(I138-$Z$3),IF(N138="Sáb",(I138-D138)-(G138-E138)-(S138-R138),IF(AND(B138&lt;$T$1,I138&gt;$Z$3),H138-$Z$3,IF(D138&lt;$Y$4,($Z$4-D138)+($AB$1-(F138-E138))+(I138-$Z$8)+(S138-R138),IF(AND(S138&lt;&gt;"",D138&gt;$Z$4),(S138-R138)-($AB$1-(F138-E138)),IF(AND(S138&lt;&gt;"",D138&lt;$Y$4),(S138-R138)-($AB$1-(F138-E138)+($Z$4-D138)),IF(I138&gt;$Z$8,($AB$1-(F138-E138))+(I138-$Z$8),IF(AND(N138="Sex",(F138-E138)&lt;($AB$1-$W$1)),($AB$1-(F138-E138)),IF(AND(O138&gt;($AB$1-$W$1),D138&gt;$Z$4),"",IF(AND(B138&gt;=$T$1,(F138-E138)&gt;($AB$1-$W$1)),"",IF(AND(D138&gt;=$Y$4,I138=$Z$8,S138=""),($AB$1-(F138-E138)),IF(AND(P138&lt;&gt;"",S138&lt;&gt;""),I138-$Z$8,IF(AND(P138&lt;&gt;"",D138&gt;$Y$4),$AB$1-(F138-E138),"")))))))))))))))))</f>
        <v>7.6388888888888964E-3</v>
      </c>
      <c r="M138" s="107" t="str">
        <f>IFERROR(IF(H138="","",IF(B138=VLOOKUP(B138,Feriados[],2,0),(H138-D138)-(G138-E138),"")),"")</f>
        <v/>
      </c>
      <c r="N138" s="38" t="str">
        <f t="shared" si="13"/>
        <v>Qua</v>
      </c>
      <c r="O138" s="112">
        <f t="shared" si="14"/>
        <v>4.166666666666663E-2</v>
      </c>
      <c r="P138" s="113" t="str">
        <f>IF(B138=_xlfn.XLOOKUP(B138,Feriados[FE Oficial],Feriados[FE Talvez],"",0),"",IF(B138&lt;$T$1,"",IF(Q138="Consulta","",IF(Q138="Compensado","",IF(N138="Sáb","",IF(S138&lt;&gt;"",(S138-R138)-(($AB$1-O138)-(D138-$Z$4)),IF(O138&gt;$AB$1,O138-$AB$1,IF(C138&gt;$Z$4,C138-$Z$4,IF(AND(N138="Sex",G138&lt;&gt;"",H138=""),$Z$3-G138,IF(AND(G138&lt;&gt;"",H138=""),$Z$3-G138,IF(AND(N138="Sex",H138&lt;$Y$3),$Z$3-H138,IF(AND(N138&lt;&gt;"Sex",H138&gt;$AA$8),"",IF(AND(N138="Sex",H138&gt;$Z$8),"",IF(AND(N138&lt;&gt;"Sex",I138&gt;$Z$8),$Z$8-H138,IF(AND(N138&lt;&gt;"Sex",H138&lt;$Y$8),$Z$8-H138,"")))))))))))))))</f>
        <v/>
      </c>
      <c r="Q138" s="33"/>
      <c r="R138" s="33"/>
      <c r="S138" s="33"/>
    </row>
    <row r="139" spans="1:19" x14ac:dyDescent="0.25">
      <c r="A139" s="116" t="s">
        <v>190</v>
      </c>
      <c r="B139" s="32">
        <v>43839</v>
      </c>
      <c r="C139" s="39">
        <f t="shared" si="10"/>
        <v>0.33333333333333331</v>
      </c>
      <c r="D139" s="33">
        <v>0.32500000000000001</v>
      </c>
      <c r="E139" s="33">
        <v>0.48125000000000001</v>
      </c>
      <c r="F139" s="39">
        <f t="shared" si="11"/>
        <v>0.5229166666666667</v>
      </c>
      <c r="G139" s="33">
        <v>0.52152777777777781</v>
      </c>
      <c r="H139" s="33">
        <v>0.75</v>
      </c>
      <c r="I139" s="39">
        <f>IFERROR(IF(B139=VLOOKUP(B139,Feriados[],2,0),H139,IF(N139="Sáb",H139,IF(AND(B139&lt;$T$1,H139&lt;=$AA$3),$Z$3,IF(AND(N139="Sex",H139&gt;$AA$3),H139,IF(H139&lt;=$AA$3,$Z$3,IF(H139&lt;=$AA$8,$Z$8,H139)))))),IF(N139="Sáb",H139,IF(AND(B139&lt;$T$1,H139&lt;=$AA$3),$Z$3,IF(AND(N139="Sex",H139&gt;$AA$3),H139,IF(H139&lt;=$AA$3,$Z$3,IF(H139&lt;=$AA$8,$Z$8,H139))))))</f>
        <v>0.75</v>
      </c>
      <c r="J139" s="33">
        <f t="shared" si="12"/>
        <v>0.375</v>
      </c>
      <c r="K139" s="33">
        <f>IFERROR(IF(H139="","",IF(B139=VLOOKUP(B139,Feriados[],2,0),(H139-D139)-(G139-E139),IF(D139&lt;=$Y$4,(I139-D139)-(G139-E139),(I139-C139)-(F139-E139)))),IF(AND(D139&lt;=$Y$4,F139-E139=$AB$1),(I139-D139)-(F139-E139),IF(D139&lt;$Y$4,(I139-D139)-(G139-E139),(I139-C139)-(F139-E139))))</f>
        <v>0.3833333333333333</v>
      </c>
      <c r="L139" s="40">
        <f>IF(B139=_xlfn.XLOOKUP(B139,Feriados[FE Oficial],Feriados[FE Talvez],"",0),"",IF(Q139="Compensado","",IF(AND(N139="Sex",D139&lt;$Y$4),($Z$4-D139)+$AB$1-(F139-E139)+(I139-$Z$3),IF(AND(N139="Sex",I139&gt;$Z$3),($AB$1-(F139-E139))+(I139-$Z$3),IF(AND(N139="Sex",E139&lt;&gt;"",D139&lt;$Y$4),($Z$4-D139)+$AB$1-(F139-E139)+(I139-$Z$3),IF(N139="Sáb",(I139-D139)-(G139-E139)-(S139-R139),IF(AND(B139&lt;$T$1,I139&gt;$Z$3),H139-$Z$3,IF(D139&lt;$Y$4,($Z$4-D139)+($AB$1-(F139-E139))+(I139-$Z$8)+(S139-R139),IF(AND(S139&lt;&gt;"",D139&gt;$Z$4),(S139-R139)-($AB$1-(F139-E139)),IF(AND(S139&lt;&gt;"",D139&lt;$Y$4),(S139-R139)-($AB$1-(F139-E139)+($Z$4-D139)),IF(I139&gt;$Z$8,($AB$1-(F139-E139))+(I139-$Z$8),IF(AND(N139="Sex",(F139-E139)&lt;($AB$1-$W$1)),($AB$1-(F139-E139)),IF(AND(O139&gt;($AB$1-$W$1),D139&gt;$Z$4),"",IF(AND(B139&gt;=$T$1,(F139-E139)&gt;($AB$1-$W$1)),"",IF(AND(D139&gt;=$Y$4,I139=$Z$8,S139=""),($AB$1-(F139-E139)),IF(AND(P139&lt;&gt;"",S139&lt;&gt;""),I139-$Z$8,IF(AND(P139&lt;&gt;"",D139&gt;$Y$4),$AB$1-(F139-E139),"")))))))))))))))))</f>
        <v>8.3333333333332829E-3</v>
      </c>
      <c r="M139" s="107" t="str">
        <f>IFERROR(IF(H139="","",IF(B139=VLOOKUP(B139,Feriados[],2,0),(H139-D139)-(G139-E139),"")),"")</f>
        <v/>
      </c>
      <c r="N139" s="38" t="str">
        <f t="shared" si="13"/>
        <v>Qua</v>
      </c>
      <c r="O139" s="112">
        <f t="shared" si="14"/>
        <v>4.0277777777777801E-2</v>
      </c>
      <c r="P139" s="113" t="str">
        <f>IF(B139=_xlfn.XLOOKUP(B139,Feriados[FE Oficial],Feriados[FE Talvez],"",0),"",IF(B139&lt;$T$1,"",IF(Q139="Consulta","",IF(Q139="Compensado","",IF(N139="Sáb","",IF(S139&lt;&gt;"",(S139-R139)-(($AB$1-O139)-(D139-$Z$4)),IF(O139&gt;$AB$1,O139-$AB$1,IF(C139&gt;$Z$4,C139-$Z$4,IF(AND(N139="Sex",G139&lt;&gt;"",H139=""),$Z$3-G139,IF(AND(G139&lt;&gt;"",H139=""),$Z$3-G139,IF(AND(N139="Sex",H139&lt;$Y$3),$Z$3-H139,IF(AND(N139&lt;&gt;"Sex",H139&gt;$AA$8),"",IF(AND(N139="Sex",H139&gt;$Z$8),"",IF(AND(N139&lt;&gt;"Sex",I139&gt;$Z$8),$Z$8-H139,IF(AND(N139&lt;&gt;"Sex",H139&lt;$Y$8),$Z$8-H139,"")))))))))))))))</f>
        <v/>
      </c>
      <c r="Q139" s="33"/>
      <c r="R139" s="33"/>
      <c r="S139" s="33"/>
    </row>
    <row r="140" spans="1:19" x14ac:dyDescent="0.25">
      <c r="A140" s="116" t="s">
        <v>175</v>
      </c>
      <c r="B140" s="32">
        <v>43839</v>
      </c>
      <c r="C140" s="39">
        <f t="shared" si="10"/>
        <v>0.33333333333333331</v>
      </c>
      <c r="D140" s="33">
        <v>0.32500000000000001</v>
      </c>
      <c r="E140" s="33">
        <v>0.5</v>
      </c>
      <c r="F140" s="39">
        <f t="shared" si="11"/>
        <v>0.54166666666666663</v>
      </c>
      <c r="G140" s="33">
        <v>0.54166666666666663</v>
      </c>
      <c r="H140" s="33">
        <v>0.75</v>
      </c>
      <c r="I140" s="39">
        <f>IFERROR(IF(B140=VLOOKUP(B140,Feriados[],2,0),H140,IF(N140="Sáb",H140,IF(AND(B140&lt;$T$1,H140&lt;=$AA$3),$Z$3,IF(AND(N140="Sex",H140&gt;$AA$3),H140,IF(H140&lt;=$AA$3,$Z$3,IF(H140&lt;=$AA$8,$Z$8,H140)))))),IF(N140="Sáb",H140,IF(AND(B140&lt;$T$1,H140&lt;=$AA$3),$Z$3,IF(AND(N140="Sex",H140&gt;$AA$3),H140,IF(H140&lt;=$AA$3,$Z$3,IF(H140&lt;=$AA$8,$Z$8,H140))))))</f>
        <v>0.75</v>
      </c>
      <c r="J140" s="33">
        <f t="shared" si="12"/>
        <v>0.375</v>
      </c>
      <c r="K140" s="33">
        <f>IFERROR(IF(H140="","",IF(B140=VLOOKUP(B140,Feriados[],2,0),(H140-D140)-(G140-E140),IF(D140&lt;=$Y$4,(I140-D140)-(G140-E140),(I140-C140)-(F140-E140)))),IF(AND(D140&lt;=$Y$4,F140-E140=$AB$1),(I140-D140)-(F140-E140),IF(D140&lt;$Y$4,(I140-D140)-(G140-E140),(I140-C140)-(F140-E140))))</f>
        <v>0.38333333333333336</v>
      </c>
      <c r="L140" s="40">
        <f>IF(B140=_xlfn.XLOOKUP(B140,Feriados[FE Oficial],Feriados[FE Talvez],"",0),"",IF(Q140="Compensado","",IF(AND(N140="Sex",D140&lt;$Y$4),($Z$4-D140)+$AB$1-(F140-E140)+(I140-$Z$3),IF(AND(N140="Sex",I140&gt;$Z$3),($AB$1-(F140-E140))+(I140-$Z$3),IF(AND(N140="Sex",E140&lt;&gt;"",D140&lt;$Y$4),($Z$4-D140)+$AB$1-(F140-E140)+(I140-$Z$3),IF(N140="Sáb",(I140-D140)-(G140-E140)-(S140-R140),IF(AND(B140&lt;$T$1,I140&gt;$Z$3),H140-$Z$3,IF(D140&lt;$Y$4,($Z$4-D140)+($AB$1-(F140-E140))+(I140-$Z$8)+(S140-R140),IF(AND(S140&lt;&gt;"",D140&gt;$Z$4),(S140-R140)-($AB$1-(F140-E140)),IF(AND(S140&lt;&gt;"",D140&lt;$Y$4),(S140-R140)-($AB$1-(F140-E140)+($Z$4-D140)),IF(I140&gt;$Z$8,($AB$1-(F140-E140))+(I140-$Z$8),IF(AND(N140="Sex",(F140-E140)&lt;($AB$1-$W$1)),($AB$1-(F140-E140)),IF(AND(O140&gt;($AB$1-$W$1),D140&gt;$Z$4),"",IF(AND(B140&gt;=$T$1,(F140-E140)&gt;($AB$1-$W$1)),"",IF(AND(D140&gt;=$Y$4,I140=$Z$8,S140=""),($AB$1-(F140-E140)),IF(AND(P140&lt;&gt;"",S140&lt;&gt;""),I140-$Z$8,IF(AND(P140&lt;&gt;"",D140&gt;$Y$4),$AB$1-(F140-E140),"")))))))))))))))))</f>
        <v>8.3333333333333384E-3</v>
      </c>
      <c r="M140" s="107" t="str">
        <f>IFERROR(IF(H140="","",IF(B140=VLOOKUP(B140,Feriados[],2,0),(H140-D140)-(G140-E140),"")),"")</f>
        <v/>
      </c>
      <c r="N140" s="38" t="str">
        <f t="shared" si="13"/>
        <v>Qua</v>
      </c>
      <c r="O140" s="112">
        <f t="shared" si="14"/>
        <v>4.166666666666663E-2</v>
      </c>
      <c r="P140" s="113" t="str">
        <f>IF(B140=_xlfn.XLOOKUP(B140,Feriados[FE Oficial],Feriados[FE Talvez],"",0),"",IF(B140&lt;$T$1,"",IF(Q140="Consulta","",IF(Q140="Compensado","",IF(N140="Sáb","",IF(S140&lt;&gt;"",(S140-R140)-(($AB$1-O140)-(D140-$Z$4)),IF(O140&gt;$AB$1,O140-$AB$1,IF(C140&gt;$Z$4,C140-$Z$4,IF(AND(N140="Sex",G140&lt;&gt;"",H140=""),$Z$3-G140,IF(AND(G140&lt;&gt;"",H140=""),$Z$3-G140,IF(AND(N140="Sex",H140&lt;$Y$3),$Z$3-H140,IF(AND(N140&lt;&gt;"Sex",H140&gt;$AA$8),"",IF(AND(N140="Sex",H140&gt;$Z$8),"",IF(AND(N140&lt;&gt;"Sex",I140&gt;$Z$8),$Z$8-H140,IF(AND(N140&lt;&gt;"Sex",H140&lt;$Y$8),$Z$8-H140,"")))))))))))))))</f>
        <v/>
      </c>
      <c r="Q140" s="33"/>
      <c r="R140" s="33"/>
      <c r="S140" s="33"/>
    </row>
    <row r="141" spans="1:19" x14ac:dyDescent="0.25">
      <c r="A141" s="116" t="s">
        <v>182</v>
      </c>
      <c r="B141" s="32">
        <v>43839</v>
      </c>
      <c r="C141" s="39">
        <f t="shared" si="10"/>
        <v>0.33333333333333331</v>
      </c>
      <c r="D141" s="33">
        <v>0.33333333333333331</v>
      </c>
      <c r="E141" s="33">
        <v>0.5</v>
      </c>
      <c r="F141" s="39">
        <f t="shared" si="11"/>
        <v>0.54166666666666663</v>
      </c>
      <c r="G141" s="33">
        <v>0.54166666666666663</v>
      </c>
      <c r="H141" s="33">
        <v>0.75</v>
      </c>
      <c r="I141" s="39">
        <f>IFERROR(IF(B141=VLOOKUP(B141,Feriados[],2,0),H141,IF(N141="Sáb",H141,IF(AND(B141&lt;$T$1,H141&lt;=$AA$3),$Z$3,IF(AND(N141="Sex",H141&gt;$AA$3),H141,IF(H141&lt;=$AA$3,$Z$3,IF(H141&lt;=$AA$8,$Z$8,H141)))))),IF(N141="Sáb",H141,IF(AND(B141&lt;$T$1,H141&lt;=$AA$3),$Z$3,IF(AND(N141="Sex",H141&gt;$AA$3),H141,IF(H141&lt;=$AA$3,$Z$3,IF(H141&lt;=$AA$8,$Z$8,H141))))))</f>
        <v>0.75</v>
      </c>
      <c r="J141" s="33">
        <f t="shared" si="12"/>
        <v>0.37500000000000006</v>
      </c>
      <c r="K141" s="33">
        <f>IFERROR(IF(H141="","",IF(B141=VLOOKUP(B141,Feriados[],2,0),(H141-D141)-(G141-E141),IF(D141&lt;=$Y$4,(I141-D141)-(G141-E141),(I141-C141)-(F141-E141)))),IF(AND(D141&lt;=$Y$4,F141-E141=$AB$1),(I141-D141)-(F141-E141),IF(D141&lt;$Y$4,(I141-D141)-(G141-E141),(I141-C141)-(F141-E141))))</f>
        <v>0.37500000000000006</v>
      </c>
      <c r="L141" s="40" t="str">
        <f>IF(B141=_xlfn.XLOOKUP(B141,Feriados[FE Oficial],Feriados[FE Talvez],"",0),"",IF(Q141="Compensado","",IF(AND(N141="Sex",D141&lt;$Y$4),($Z$4-D141)+$AB$1-(F141-E141)+(I141-$Z$3),IF(AND(N141="Sex",I141&gt;$Z$3),($AB$1-(F141-E141))+(I141-$Z$3),IF(AND(N141="Sex",E141&lt;&gt;"",D141&lt;$Y$4),($Z$4-D141)+$AB$1-(F141-E141)+(I141-$Z$3),IF(N141="Sáb",(I141-D141)-(G141-E141)-(S141-R141),IF(AND(B141&lt;$T$1,I141&gt;$Z$3),H141-$Z$3,IF(D141&lt;$Y$4,($Z$4-D141)+($AB$1-(F141-E141))+(I141-$Z$8)+(S141-R141),IF(AND(S141&lt;&gt;"",D141&gt;$Z$4),(S141-R141)-($AB$1-(F141-E141)),IF(AND(S141&lt;&gt;"",D141&lt;$Y$4),(S141-R141)-($AB$1-(F141-E141)+($Z$4-D141)),IF(I141&gt;$Z$8,($AB$1-(F141-E141))+(I141-$Z$8),IF(AND(N141="Sex",(F141-E141)&lt;($AB$1-$W$1)),($AB$1-(F141-E141)),IF(AND(O141&gt;($AB$1-$W$1),D141&gt;$Z$4),"",IF(AND(B141&gt;=$T$1,(F141-E141)&gt;($AB$1-$W$1)),"",IF(AND(D141&gt;=$Y$4,I141=$Z$8,S141=""),($AB$1-(F141-E141)),IF(AND(P141&lt;&gt;"",S141&lt;&gt;""),I141-$Z$8,IF(AND(P141&lt;&gt;"",D141&gt;$Y$4),$AB$1-(F141-E141),"")))))))))))))))))</f>
        <v/>
      </c>
      <c r="M141" s="107" t="str">
        <f>IFERROR(IF(H141="","",IF(B141=VLOOKUP(B141,Feriados[],2,0),(H141-D141)-(G141-E141),"")),"")</f>
        <v/>
      </c>
      <c r="N141" s="38" t="str">
        <f t="shared" si="13"/>
        <v>Qua</v>
      </c>
      <c r="O141" s="112">
        <f t="shared" si="14"/>
        <v>4.166666666666663E-2</v>
      </c>
      <c r="P141" s="113" t="str">
        <f>IF(B141=_xlfn.XLOOKUP(B141,Feriados[FE Oficial],Feriados[FE Talvez],"",0),"",IF(B141&lt;$T$1,"",IF(Q141="Consulta","",IF(Q141="Compensado","",IF(N141="Sáb","",IF(S141&lt;&gt;"",(S141-R141)-(($AB$1-O141)-(D141-$Z$4)),IF(O141&gt;$AB$1,O141-$AB$1,IF(C141&gt;$Z$4,C141-$Z$4,IF(AND(N141="Sex",G141&lt;&gt;"",H141=""),$Z$3-G141,IF(AND(G141&lt;&gt;"",H141=""),$Z$3-G141,IF(AND(N141="Sex",H141&lt;$Y$3),$Z$3-H141,IF(AND(N141&lt;&gt;"Sex",H141&gt;$AA$8),"",IF(AND(N141="Sex",H141&gt;$Z$8),"",IF(AND(N141&lt;&gt;"Sex",I141&gt;$Z$8),$Z$8-H141,IF(AND(N141&lt;&gt;"Sex",H141&lt;$Y$8),$Z$8-H141,"")))))))))))))))</f>
        <v/>
      </c>
      <c r="Q141" s="33"/>
      <c r="R141" s="33"/>
      <c r="S141" s="33"/>
    </row>
    <row r="142" spans="1:19" x14ac:dyDescent="0.25">
      <c r="A142" s="116" t="s">
        <v>194</v>
      </c>
      <c r="B142" s="32">
        <v>43840</v>
      </c>
      <c r="C142" s="39">
        <f t="shared" si="10"/>
        <v>0.33333333333333331</v>
      </c>
      <c r="D142" s="33">
        <v>0.29166666666666669</v>
      </c>
      <c r="E142" s="33">
        <v>0.5</v>
      </c>
      <c r="F142" s="39">
        <f t="shared" si="11"/>
        <v>0.54166666666666663</v>
      </c>
      <c r="G142" s="33">
        <v>0.54166666666666663</v>
      </c>
      <c r="H142" s="33">
        <v>0.75</v>
      </c>
      <c r="I142" s="39">
        <f>IFERROR(IF(B142=VLOOKUP(B142,Feriados[],2,0),H142,IF(N142="Sáb",H142,IF(AND(B142&lt;$T$1,H142&lt;=$AA$3),$Z$3,IF(AND(N142="Sex",H142&gt;$AA$3),H142,IF(H142&lt;=$AA$3,$Z$3,IF(H142&lt;=$AA$8,$Z$8,H142)))))),IF(N142="Sáb",H142,IF(AND(B142&lt;$T$1,H142&lt;=$AA$3),$Z$3,IF(AND(N142="Sex",H142&gt;$AA$3),H142,IF(H142&lt;=$AA$3,$Z$3,IF(H142&lt;=$AA$8,$Z$8,H142))))))</f>
        <v>0.75</v>
      </c>
      <c r="J142" s="33">
        <f t="shared" si="12"/>
        <v>0.375</v>
      </c>
      <c r="K142" s="33">
        <f>IFERROR(IF(H142="","",IF(B142=VLOOKUP(B142,Feriados[],2,0),(H142-D142)-(G142-E142),IF(D142&lt;=$Y$4,(I142-D142)-(G142-E142),(I142-C142)-(F142-E142)))),IF(AND(D142&lt;=$Y$4,F142-E142=$AB$1),(I142-D142)-(F142-E142),IF(D142&lt;$Y$4,(I142-D142)-(G142-E142),(I142-C142)-(F142-E142))))</f>
        <v>0.41666666666666669</v>
      </c>
      <c r="L142" s="40">
        <f>IF(B142=_xlfn.XLOOKUP(B142,Feriados[FE Oficial],Feriados[FE Talvez],"",0),"",IF(Q142="Compensado","",IF(AND(N142="Sex",D142&lt;$Y$4),($Z$4-D142)+$AB$1-(F142-E142)+(I142-$Z$3),IF(AND(N142="Sex",I142&gt;$Z$3),($AB$1-(F142-E142))+(I142-$Z$3),IF(AND(N142="Sex",E142&lt;&gt;"",D142&lt;$Y$4),($Z$4-D142)+$AB$1-(F142-E142)+(I142-$Z$3),IF(N142="Sáb",(I142-D142)-(G142-E142)-(S142-R142),IF(AND(B142&lt;$T$1,I142&gt;$Z$3),H142-$Z$3,IF(D142&lt;$Y$4,($Z$4-D142)+($AB$1-(F142-E142))+(I142-$Z$8)+(S142-R142),IF(AND(S142&lt;&gt;"",D142&gt;$Z$4),(S142-R142)-($AB$1-(F142-E142)),IF(AND(S142&lt;&gt;"",D142&lt;$Y$4),(S142-R142)-($AB$1-(F142-E142)+($Z$4-D142)),IF(I142&gt;$Z$8,($AB$1-(F142-E142))+(I142-$Z$8),IF(AND(N142="Sex",(F142-E142)&lt;($AB$1-$W$1)),($AB$1-(F142-E142)),IF(AND(O142&gt;($AB$1-$W$1),D142&gt;$Z$4),"",IF(AND(B142&gt;=$T$1,(F142-E142)&gt;($AB$1-$W$1)),"",IF(AND(D142&gt;=$Y$4,I142=$Z$8,S142=""),($AB$1-(F142-E142)),IF(AND(P142&lt;&gt;"",S142&lt;&gt;""),I142-$Z$8,IF(AND(P142&lt;&gt;"",D142&gt;$Y$4),$AB$1-(F142-E142),"")))))))))))))))))</f>
        <v>4.1666666666666664E-2</v>
      </c>
      <c r="M142" s="107" t="str">
        <f>IFERROR(IF(H142="","",IF(B142=VLOOKUP(B142,Feriados[],2,0),(H142-D142)-(G142-E142),"")),"")</f>
        <v/>
      </c>
      <c r="N142" s="38" t="str">
        <f t="shared" si="13"/>
        <v>Qui</v>
      </c>
      <c r="O142" s="112">
        <f t="shared" si="14"/>
        <v>4.166666666666663E-2</v>
      </c>
      <c r="P142" s="113" t="str">
        <f>IF(B142=_xlfn.XLOOKUP(B142,Feriados[FE Oficial],Feriados[FE Talvez],"",0),"",IF(B142&lt;$T$1,"",IF(Q142="Consulta","",IF(Q142="Compensado","",IF(N142="Sáb","",IF(S142&lt;&gt;"",(S142-R142)-(($AB$1-O142)-(D142-$Z$4)),IF(O142&gt;$AB$1,O142-$AB$1,IF(C142&gt;$Z$4,C142-$Z$4,IF(AND(N142="Sex",G142&lt;&gt;"",H142=""),$Z$3-G142,IF(AND(G142&lt;&gt;"",H142=""),$Z$3-G142,IF(AND(N142="Sex",H142&lt;$Y$3),$Z$3-H142,IF(AND(N142&lt;&gt;"Sex",H142&gt;$AA$8),"",IF(AND(N142="Sex",H142&gt;$Z$8),"",IF(AND(N142&lt;&gt;"Sex",I142&gt;$Z$8),$Z$8-H142,IF(AND(N142&lt;&gt;"Sex",H142&lt;$Y$8),$Z$8-H142,"")))))))))))))))</f>
        <v/>
      </c>
      <c r="Q142" s="33"/>
      <c r="R142" s="33"/>
      <c r="S142" s="33"/>
    </row>
    <row r="143" spans="1:19" x14ac:dyDescent="0.25">
      <c r="A143" s="116" t="s">
        <v>191</v>
      </c>
      <c r="B143" s="32">
        <v>43840</v>
      </c>
      <c r="C143" s="39">
        <f t="shared" si="10"/>
        <v>0.33333333333333331</v>
      </c>
      <c r="D143" s="33">
        <v>0.33333333333333331</v>
      </c>
      <c r="E143" s="33">
        <v>0.4861111111111111</v>
      </c>
      <c r="F143" s="39">
        <f t="shared" si="11"/>
        <v>0.52083333333333337</v>
      </c>
      <c r="G143" s="33">
        <v>0.52083333333333337</v>
      </c>
      <c r="H143" s="33">
        <v>0.75</v>
      </c>
      <c r="I143" s="39">
        <f>IFERROR(IF(B143=VLOOKUP(B143,Feriados[],2,0),H143,IF(N143="Sáb",H143,IF(AND(B143&lt;$T$1,H143&lt;=$AA$3),$Z$3,IF(AND(N143="Sex",H143&gt;$AA$3),H143,IF(H143&lt;=$AA$3,$Z$3,IF(H143&lt;=$AA$8,$Z$8,H143)))))),IF(N143="Sáb",H143,IF(AND(B143&lt;$T$1,H143&lt;=$AA$3),$Z$3,IF(AND(N143="Sex",H143&gt;$AA$3),H143,IF(H143&lt;=$AA$3,$Z$3,IF(H143&lt;=$AA$8,$Z$8,H143))))))</f>
        <v>0.75</v>
      </c>
      <c r="J143" s="33">
        <f t="shared" si="12"/>
        <v>0.375</v>
      </c>
      <c r="K143" s="33">
        <f>IFERROR(IF(H143="","",IF(B143=VLOOKUP(B143,Feriados[],2,0),(H143-D143)-(G143-E143),IF(D143&lt;=$Y$4,(I143-D143)-(G143-E143),(I143-C143)-(F143-E143)))),IF(AND(D143&lt;=$Y$4,F143-E143=$AB$1),(I143-D143)-(F143-E143),IF(D143&lt;$Y$4,(I143-D143)-(G143-E143),(I143-C143)-(F143-E143))))</f>
        <v>0.38194444444444442</v>
      </c>
      <c r="L143" s="40" t="str">
        <f>IF(B143=_xlfn.XLOOKUP(B143,Feriados[FE Oficial],Feriados[FE Talvez],"",0),"",IF(Q143="Compensado","",IF(AND(N143="Sex",D143&lt;$Y$4),($Z$4-D143)+$AB$1-(F143-E143)+(I143-$Z$3),IF(AND(N143="Sex",I143&gt;$Z$3),($AB$1-(F143-E143))+(I143-$Z$3),IF(AND(N143="Sex",E143&lt;&gt;"",D143&lt;$Y$4),($Z$4-D143)+$AB$1-(F143-E143)+(I143-$Z$3),IF(N143="Sáb",(I143-D143)-(G143-E143)-(S143-R143),IF(AND(B143&lt;$T$1,I143&gt;$Z$3),H143-$Z$3,IF(D143&lt;$Y$4,($Z$4-D143)+($AB$1-(F143-E143))+(I143-$Z$8)+(S143-R143),IF(AND(S143&lt;&gt;"",D143&gt;$Z$4),(S143-R143)-($AB$1-(F143-E143)),IF(AND(S143&lt;&gt;"",D143&lt;$Y$4),(S143-R143)-($AB$1-(F143-E143)+($Z$4-D143)),IF(I143&gt;$Z$8,($AB$1-(F143-E143))+(I143-$Z$8),IF(AND(N143="Sex",(F143-E143)&lt;($AB$1-$W$1)),($AB$1-(F143-E143)),IF(AND(O143&gt;($AB$1-$W$1),D143&gt;$Z$4),"",IF(AND(B143&gt;=$T$1,(F143-E143)&gt;($AB$1-$W$1)),"",IF(AND(D143&gt;=$Y$4,I143=$Z$8,S143=""),($AB$1-(F143-E143)),IF(AND(P143&lt;&gt;"",S143&lt;&gt;""),I143-$Z$8,IF(AND(P143&lt;&gt;"",D143&gt;$Y$4),$AB$1-(F143-E143),"")))))))))))))))))</f>
        <v/>
      </c>
      <c r="M143" s="107" t="str">
        <f>IFERROR(IF(H143="","",IF(B143=VLOOKUP(B143,Feriados[],2,0),(H143-D143)-(G143-E143),"")),"")</f>
        <v/>
      </c>
      <c r="N143" s="38" t="str">
        <f t="shared" si="13"/>
        <v>Qui</v>
      </c>
      <c r="O143" s="112">
        <f t="shared" si="14"/>
        <v>3.4722222222222265E-2</v>
      </c>
      <c r="P143" s="113" t="str">
        <f>IF(B143=_xlfn.XLOOKUP(B143,Feriados[FE Oficial],Feriados[FE Talvez],"",0),"",IF(B143&lt;$T$1,"",IF(Q143="Consulta","",IF(Q143="Compensado","",IF(N143="Sáb","",IF(S143&lt;&gt;"",(S143-R143)-(($AB$1-O143)-(D143-$Z$4)),IF(O143&gt;$AB$1,O143-$AB$1,IF(C143&gt;$Z$4,C143-$Z$4,IF(AND(N143="Sex",G143&lt;&gt;"",H143=""),$Z$3-G143,IF(AND(G143&lt;&gt;"",H143=""),$Z$3-G143,IF(AND(N143="Sex",H143&lt;$Y$3),$Z$3-H143,IF(AND(N143&lt;&gt;"Sex",H143&gt;$AA$8),"",IF(AND(N143="Sex",H143&gt;$Z$8),"",IF(AND(N143&lt;&gt;"Sex",I143&gt;$Z$8),$Z$8-H143,IF(AND(N143&lt;&gt;"Sex",H143&lt;$Y$8),$Z$8-H143,"")))))))))))))))</f>
        <v/>
      </c>
      <c r="Q143" s="33"/>
      <c r="R143" s="33"/>
      <c r="S143" s="33"/>
    </row>
    <row r="144" spans="1:19" x14ac:dyDescent="0.25">
      <c r="A144" s="116" t="s">
        <v>197</v>
      </c>
      <c r="B144" s="32">
        <v>43840</v>
      </c>
      <c r="C144" s="39">
        <f t="shared" si="10"/>
        <v>0.33333333333333331</v>
      </c>
      <c r="D144" s="33">
        <v>0.33263888888888887</v>
      </c>
      <c r="E144" s="33">
        <v>0.48333333333333334</v>
      </c>
      <c r="F144" s="39">
        <f t="shared" si="11"/>
        <v>0.52083333333333337</v>
      </c>
      <c r="G144" s="33">
        <v>0.52083333333333337</v>
      </c>
      <c r="H144" s="33">
        <v>0.75</v>
      </c>
      <c r="I144" s="39">
        <f>IFERROR(IF(B144=VLOOKUP(B144,Feriados[],2,0),H144,IF(N144="Sáb",H144,IF(AND(B144&lt;$T$1,H144&lt;=$AA$3),$Z$3,IF(AND(N144="Sex",H144&gt;$AA$3),H144,IF(H144&lt;=$AA$3,$Z$3,IF(H144&lt;=$AA$8,$Z$8,H144)))))),IF(N144="Sáb",H144,IF(AND(B144&lt;$T$1,H144&lt;=$AA$3),$Z$3,IF(AND(N144="Sex",H144&gt;$AA$3),H144,IF(H144&lt;=$AA$3,$Z$3,IF(H144&lt;=$AA$8,$Z$8,H144))))))</f>
        <v>0.75</v>
      </c>
      <c r="J144" s="33">
        <f t="shared" si="12"/>
        <v>0.375</v>
      </c>
      <c r="K144" s="33">
        <f>IFERROR(IF(H144="","",IF(B144=VLOOKUP(B144,Feriados[],2,0),(H144-D144)-(G144-E144),IF(D144&lt;=$Y$4,(I144-D144)-(G144-E144),(I144-C144)-(F144-E144)))),IF(AND(D144&lt;=$Y$4,F144-E144=$AB$1),(I144-D144)-(F144-E144),IF(D144&lt;$Y$4,(I144-D144)-(G144-E144),(I144-C144)-(F144-E144))))</f>
        <v>0.37916666666666665</v>
      </c>
      <c r="L144" s="40" t="str">
        <f>IF(B144=_xlfn.XLOOKUP(B144,Feriados[FE Oficial],Feriados[FE Talvez],"",0),"",IF(Q144="Compensado","",IF(AND(N144="Sex",D144&lt;$Y$4),($Z$4-D144)+$AB$1-(F144-E144)+(I144-$Z$3),IF(AND(N144="Sex",I144&gt;$Z$3),($AB$1-(F144-E144))+(I144-$Z$3),IF(AND(N144="Sex",E144&lt;&gt;"",D144&lt;$Y$4),($Z$4-D144)+$AB$1-(F144-E144)+(I144-$Z$3),IF(N144="Sáb",(I144-D144)-(G144-E144)-(S144-R144),IF(AND(B144&lt;$T$1,I144&gt;$Z$3),H144-$Z$3,IF(D144&lt;$Y$4,($Z$4-D144)+($AB$1-(F144-E144))+(I144-$Z$8)+(S144-R144),IF(AND(S144&lt;&gt;"",D144&gt;$Z$4),(S144-R144)-($AB$1-(F144-E144)),IF(AND(S144&lt;&gt;"",D144&lt;$Y$4),(S144-R144)-($AB$1-(F144-E144)+($Z$4-D144)),IF(I144&gt;$Z$8,($AB$1-(F144-E144))+(I144-$Z$8),IF(AND(N144="Sex",(F144-E144)&lt;($AB$1-$W$1)),($AB$1-(F144-E144)),IF(AND(O144&gt;($AB$1-$W$1),D144&gt;$Z$4),"",IF(AND(B144&gt;=$T$1,(F144-E144)&gt;($AB$1-$W$1)),"",IF(AND(D144&gt;=$Y$4,I144=$Z$8,S144=""),($AB$1-(F144-E144)),IF(AND(P144&lt;&gt;"",S144&lt;&gt;""),I144-$Z$8,IF(AND(P144&lt;&gt;"",D144&gt;$Y$4),$AB$1-(F144-E144),"")))))))))))))))))</f>
        <v/>
      </c>
      <c r="M144" s="107" t="str">
        <f>IFERROR(IF(H144="","",IF(B144=VLOOKUP(B144,Feriados[],2,0),(H144-D144)-(G144-E144),"")),"")</f>
        <v/>
      </c>
      <c r="N144" s="38" t="str">
        <f t="shared" si="13"/>
        <v>Qui</v>
      </c>
      <c r="O144" s="112">
        <f t="shared" si="14"/>
        <v>3.7500000000000033E-2</v>
      </c>
      <c r="P144" s="113" t="str">
        <f>IF(B144=_xlfn.XLOOKUP(B144,Feriados[FE Oficial],Feriados[FE Talvez],"",0),"",IF(B144&lt;$T$1,"",IF(Q144="Consulta","",IF(Q144="Compensado","",IF(N144="Sáb","",IF(S144&lt;&gt;"",(S144-R144)-(($AB$1-O144)-(D144-$Z$4)),IF(O144&gt;$AB$1,O144-$AB$1,IF(C144&gt;$Z$4,C144-$Z$4,IF(AND(N144="Sex",G144&lt;&gt;"",H144=""),$Z$3-G144,IF(AND(G144&lt;&gt;"",H144=""),$Z$3-G144,IF(AND(N144="Sex",H144&lt;$Y$3),$Z$3-H144,IF(AND(N144&lt;&gt;"Sex",H144&gt;$AA$8),"",IF(AND(N144="Sex",H144&gt;$Z$8),"",IF(AND(N144&lt;&gt;"Sex",I144&gt;$Z$8),$Z$8-H144,IF(AND(N144&lt;&gt;"Sex",H144&lt;$Y$8),$Z$8-H144,"")))))))))))))))</f>
        <v/>
      </c>
      <c r="Q144" s="33"/>
      <c r="R144" s="33"/>
      <c r="S144" s="33"/>
    </row>
    <row r="145" spans="1:19" x14ac:dyDescent="0.25">
      <c r="A145" s="116" t="s">
        <v>190</v>
      </c>
      <c r="B145" s="32">
        <v>43840</v>
      </c>
      <c r="C145" s="39">
        <f t="shared" si="10"/>
        <v>0.33333333333333331</v>
      </c>
      <c r="D145" s="33">
        <v>0.33124999999999999</v>
      </c>
      <c r="E145" s="33">
        <v>0.48333333333333334</v>
      </c>
      <c r="F145" s="39">
        <f t="shared" si="11"/>
        <v>0.52083333333333337</v>
      </c>
      <c r="G145" s="33">
        <v>0.52083333333333337</v>
      </c>
      <c r="H145" s="33">
        <v>0.75</v>
      </c>
      <c r="I145" s="39">
        <f>IFERROR(IF(B145=VLOOKUP(B145,Feriados[],2,0),H145,IF(N145="Sáb",H145,IF(AND(B145&lt;$T$1,H145&lt;=$AA$3),$Z$3,IF(AND(N145="Sex",H145&gt;$AA$3),H145,IF(H145&lt;=$AA$3,$Z$3,IF(H145&lt;=$AA$8,$Z$8,H145)))))),IF(N145="Sáb",H145,IF(AND(B145&lt;$T$1,H145&lt;=$AA$3),$Z$3,IF(AND(N145="Sex",H145&gt;$AA$3),H145,IF(H145&lt;=$AA$3,$Z$3,IF(H145&lt;=$AA$8,$Z$8,H145))))))</f>
        <v>0.75</v>
      </c>
      <c r="J145" s="33">
        <f t="shared" si="12"/>
        <v>0.375</v>
      </c>
      <c r="K145" s="33">
        <f>IFERROR(IF(H145="","",IF(B145=VLOOKUP(B145,Feriados[],2,0),(H145-D145)-(G145-E145),IF(D145&lt;=$Y$4,(I145-D145)-(G145-E145),(I145-C145)-(F145-E145)))),IF(AND(D145&lt;=$Y$4,F145-E145=$AB$1),(I145-D145)-(F145-E145),IF(D145&lt;$Y$4,(I145-D145)-(G145-E145),(I145-C145)-(F145-E145))))</f>
        <v>0.37916666666666665</v>
      </c>
      <c r="L145" s="40" t="str">
        <f>IF(B145=_xlfn.XLOOKUP(B145,Feriados[FE Oficial],Feriados[FE Talvez],"",0),"",IF(Q145="Compensado","",IF(AND(N145="Sex",D145&lt;$Y$4),($Z$4-D145)+$AB$1-(F145-E145)+(I145-$Z$3),IF(AND(N145="Sex",I145&gt;$Z$3),($AB$1-(F145-E145))+(I145-$Z$3),IF(AND(N145="Sex",E145&lt;&gt;"",D145&lt;$Y$4),($Z$4-D145)+$AB$1-(F145-E145)+(I145-$Z$3),IF(N145="Sáb",(I145-D145)-(G145-E145)-(S145-R145),IF(AND(B145&lt;$T$1,I145&gt;$Z$3),H145-$Z$3,IF(D145&lt;$Y$4,($Z$4-D145)+($AB$1-(F145-E145))+(I145-$Z$8)+(S145-R145),IF(AND(S145&lt;&gt;"",D145&gt;$Z$4),(S145-R145)-($AB$1-(F145-E145)),IF(AND(S145&lt;&gt;"",D145&lt;$Y$4),(S145-R145)-($AB$1-(F145-E145)+($Z$4-D145)),IF(I145&gt;$Z$8,($AB$1-(F145-E145))+(I145-$Z$8),IF(AND(N145="Sex",(F145-E145)&lt;($AB$1-$W$1)),($AB$1-(F145-E145)),IF(AND(O145&gt;($AB$1-$W$1),D145&gt;$Z$4),"",IF(AND(B145&gt;=$T$1,(F145-E145)&gt;($AB$1-$W$1)),"",IF(AND(D145&gt;=$Y$4,I145=$Z$8,S145=""),($AB$1-(F145-E145)),IF(AND(P145&lt;&gt;"",S145&lt;&gt;""),I145-$Z$8,IF(AND(P145&lt;&gt;"",D145&gt;$Y$4),$AB$1-(F145-E145),"")))))))))))))))))</f>
        <v/>
      </c>
      <c r="M145" s="107" t="str">
        <f>IFERROR(IF(H145="","",IF(B145=VLOOKUP(B145,Feriados[],2,0),(H145-D145)-(G145-E145),"")),"")</f>
        <v/>
      </c>
      <c r="N145" s="38" t="str">
        <f t="shared" si="13"/>
        <v>Qui</v>
      </c>
      <c r="O145" s="112">
        <f t="shared" si="14"/>
        <v>3.7500000000000033E-2</v>
      </c>
      <c r="P145" s="113" t="str">
        <f>IF(B145=_xlfn.XLOOKUP(B145,Feriados[FE Oficial],Feriados[FE Talvez],"",0),"",IF(B145&lt;$T$1,"",IF(Q145="Consulta","",IF(Q145="Compensado","",IF(N145="Sáb","",IF(S145&lt;&gt;"",(S145-R145)-(($AB$1-O145)-(D145-$Z$4)),IF(O145&gt;$AB$1,O145-$AB$1,IF(C145&gt;$Z$4,C145-$Z$4,IF(AND(N145="Sex",G145&lt;&gt;"",H145=""),$Z$3-G145,IF(AND(G145&lt;&gt;"",H145=""),$Z$3-G145,IF(AND(N145="Sex",H145&lt;$Y$3),$Z$3-H145,IF(AND(N145&lt;&gt;"Sex",H145&gt;$AA$8),"",IF(AND(N145="Sex",H145&gt;$Z$8),"",IF(AND(N145&lt;&gt;"Sex",I145&gt;$Z$8),$Z$8-H145,IF(AND(N145&lt;&gt;"Sex",H145&lt;$Y$8),$Z$8-H145,"")))))))))))))))</f>
        <v/>
      </c>
      <c r="Q145" s="33"/>
      <c r="R145" s="33"/>
      <c r="S145" s="33"/>
    </row>
    <row r="146" spans="1:19" x14ac:dyDescent="0.25">
      <c r="A146" s="116" t="s">
        <v>175</v>
      </c>
      <c r="B146" s="32">
        <v>43840</v>
      </c>
      <c r="C146" s="39">
        <f t="shared" si="10"/>
        <v>0.33333333333333331</v>
      </c>
      <c r="D146" s="33">
        <v>0.32430555555555557</v>
      </c>
      <c r="E146" s="33">
        <v>0.5</v>
      </c>
      <c r="F146" s="39">
        <f t="shared" si="11"/>
        <v>0.54166666666666663</v>
      </c>
      <c r="G146" s="33">
        <v>0.54166666666666663</v>
      </c>
      <c r="H146" s="33">
        <v>0.75</v>
      </c>
      <c r="I146" s="39">
        <f>IFERROR(IF(B146=VLOOKUP(B146,Feriados[],2,0),H146,IF(N146="Sáb",H146,IF(AND(B146&lt;$T$1,H146&lt;=$AA$3),$Z$3,IF(AND(N146="Sex",H146&gt;$AA$3),H146,IF(H146&lt;=$AA$3,$Z$3,IF(H146&lt;=$AA$8,$Z$8,H146)))))),IF(N146="Sáb",H146,IF(AND(B146&lt;$T$1,H146&lt;=$AA$3),$Z$3,IF(AND(N146="Sex",H146&gt;$AA$3),H146,IF(H146&lt;=$AA$3,$Z$3,IF(H146&lt;=$AA$8,$Z$8,H146))))))</f>
        <v>0.75</v>
      </c>
      <c r="J146" s="33">
        <f t="shared" si="12"/>
        <v>0.375</v>
      </c>
      <c r="K146" s="33">
        <f>IFERROR(IF(H146="","",IF(B146=VLOOKUP(B146,Feriados[],2,0),(H146-D146)-(G146-E146),IF(D146&lt;=$Y$4,(I146-D146)-(G146-E146),(I146-C146)-(F146-E146)))),IF(AND(D146&lt;=$Y$4,F146-E146=$AB$1),(I146-D146)-(F146-E146),IF(D146&lt;$Y$4,(I146-D146)-(G146-E146),(I146-C146)-(F146-E146))))</f>
        <v>0.3840277777777778</v>
      </c>
      <c r="L146" s="40">
        <f>IF(B146=_xlfn.XLOOKUP(B146,Feriados[FE Oficial],Feriados[FE Talvez],"",0),"",IF(Q146="Compensado","",IF(AND(N146="Sex",D146&lt;$Y$4),($Z$4-D146)+$AB$1-(F146-E146)+(I146-$Z$3),IF(AND(N146="Sex",I146&gt;$Z$3),($AB$1-(F146-E146))+(I146-$Z$3),IF(AND(N146="Sex",E146&lt;&gt;"",D146&lt;$Y$4),($Z$4-D146)+$AB$1-(F146-E146)+(I146-$Z$3),IF(N146="Sáb",(I146-D146)-(G146-E146)-(S146-R146),IF(AND(B146&lt;$T$1,I146&gt;$Z$3),H146-$Z$3,IF(D146&lt;$Y$4,($Z$4-D146)+($AB$1-(F146-E146))+(I146-$Z$8)+(S146-R146),IF(AND(S146&lt;&gt;"",D146&gt;$Z$4),(S146-R146)-($AB$1-(F146-E146)),IF(AND(S146&lt;&gt;"",D146&lt;$Y$4),(S146-R146)-($AB$1-(F146-E146)+($Z$4-D146)),IF(I146&gt;$Z$8,($AB$1-(F146-E146))+(I146-$Z$8),IF(AND(N146="Sex",(F146-E146)&lt;($AB$1-$W$1)),($AB$1-(F146-E146)),IF(AND(O146&gt;($AB$1-$W$1),D146&gt;$Z$4),"",IF(AND(B146&gt;=$T$1,(F146-E146)&gt;($AB$1-$W$1)),"",IF(AND(D146&gt;=$Y$4,I146=$Z$8,S146=""),($AB$1-(F146-E146)),IF(AND(P146&lt;&gt;"",S146&lt;&gt;""),I146-$Z$8,IF(AND(P146&lt;&gt;"",D146&gt;$Y$4),$AB$1-(F146-E146),"")))))))))))))))))</f>
        <v>9.0277777777777804E-3</v>
      </c>
      <c r="M146" s="107" t="str">
        <f>IFERROR(IF(H146="","",IF(B146=VLOOKUP(B146,Feriados[],2,0),(H146-D146)-(G146-E146),"")),"")</f>
        <v/>
      </c>
      <c r="N146" s="38" t="str">
        <f t="shared" si="13"/>
        <v>Qui</v>
      </c>
      <c r="O146" s="112">
        <f t="shared" si="14"/>
        <v>4.166666666666663E-2</v>
      </c>
      <c r="P146" s="113" t="str">
        <f>IF(B146=_xlfn.XLOOKUP(B146,Feriados[FE Oficial],Feriados[FE Talvez],"",0),"",IF(B146&lt;$T$1,"",IF(Q146="Consulta","",IF(Q146="Compensado","",IF(N146="Sáb","",IF(S146&lt;&gt;"",(S146-R146)-(($AB$1-O146)-(D146-$Z$4)),IF(O146&gt;$AB$1,O146-$AB$1,IF(C146&gt;$Z$4,C146-$Z$4,IF(AND(N146="Sex",G146&lt;&gt;"",H146=""),$Z$3-G146,IF(AND(G146&lt;&gt;"",H146=""),$Z$3-G146,IF(AND(N146="Sex",H146&lt;$Y$3),$Z$3-H146,IF(AND(N146&lt;&gt;"Sex",H146&gt;$AA$8),"",IF(AND(N146="Sex",H146&gt;$Z$8),"",IF(AND(N146&lt;&gt;"Sex",I146&gt;$Z$8),$Z$8-H146,IF(AND(N146&lt;&gt;"Sex",H146&lt;$Y$8),$Z$8-H146,"")))))))))))))))</f>
        <v/>
      </c>
      <c r="Q146" s="33"/>
      <c r="R146" s="33"/>
      <c r="S146" s="33"/>
    </row>
    <row r="147" spans="1:19" x14ac:dyDescent="0.25">
      <c r="A147" s="116" t="s">
        <v>182</v>
      </c>
      <c r="B147" s="32">
        <v>43840</v>
      </c>
      <c r="C147" s="39">
        <f t="shared" si="10"/>
        <v>0.33333333333333331</v>
      </c>
      <c r="D147" s="33">
        <v>0.33888888888888885</v>
      </c>
      <c r="E147" s="33">
        <v>0.5</v>
      </c>
      <c r="F147" s="39">
        <f t="shared" si="11"/>
        <v>0.54166666666666663</v>
      </c>
      <c r="G147" s="33">
        <v>0.54166666666666663</v>
      </c>
      <c r="H147" s="33">
        <v>0.75</v>
      </c>
      <c r="I147" s="39">
        <f>IFERROR(IF(B147=VLOOKUP(B147,Feriados[],2,0),H147,IF(N147="Sáb",H147,IF(AND(B147&lt;$T$1,H147&lt;=$AA$3),$Z$3,IF(AND(N147="Sex",H147&gt;$AA$3),H147,IF(H147&lt;=$AA$3,$Z$3,IF(H147&lt;=$AA$8,$Z$8,H147)))))),IF(N147="Sáb",H147,IF(AND(B147&lt;$T$1,H147&lt;=$AA$3),$Z$3,IF(AND(N147="Sex",H147&gt;$AA$3),H147,IF(H147&lt;=$AA$3,$Z$3,IF(H147&lt;=$AA$8,$Z$8,H147))))))</f>
        <v>0.75</v>
      </c>
      <c r="J147" s="33">
        <f t="shared" si="12"/>
        <v>0.36944444444444452</v>
      </c>
      <c r="K147" s="33">
        <f>IFERROR(IF(H147="","",IF(B147=VLOOKUP(B147,Feriados[],2,0),(H147-D147)-(G147-E147),IF(D147&lt;=$Y$4,(I147-D147)-(G147-E147),(I147-C147)-(F147-E147)))),IF(AND(D147&lt;=$Y$4,F147-E147=$AB$1),(I147-D147)-(F147-E147),IF(D147&lt;$Y$4,(I147-D147)-(G147-E147),(I147-C147)-(F147-E147))))</f>
        <v>0.37500000000000006</v>
      </c>
      <c r="L147" s="40" t="str">
        <f>IF(B147=_xlfn.XLOOKUP(B147,Feriados[FE Oficial],Feriados[FE Talvez],"",0),"",IF(Q147="Compensado","",IF(AND(N147="Sex",D147&lt;$Y$4),($Z$4-D147)+$AB$1-(F147-E147)+(I147-$Z$3),IF(AND(N147="Sex",I147&gt;$Z$3),($AB$1-(F147-E147))+(I147-$Z$3),IF(AND(N147="Sex",E147&lt;&gt;"",D147&lt;$Y$4),($Z$4-D147)+$AB$1-(F147-E147)+(I147-$Z$3),IF(N147="Sáb",(I147-D147)-(G147-E147)-(S147-R147),IF(AND(B147&lt;$T$1,I147&gt;$Z$3),H147-$Z$3,IF(D147&lt;$Y$4,($Z$4-D147)+($AB$1-(F147-E147))+(I147-$Z$8)+(S147-R147),IF(AND(S147&lt;&gt;"",D147&gt;$Z$4),(S147-R147)-($AB$1-(F147-E147)),IF(AND(S147&lt;&gt;"",D147&lt;$Y$4),(S147-R147)-($AB$1-(F147-E147)+($Z$4-D147)),IF(I147&gt;$Z$8,($AB$1-(F147-E147))+(I147-$Z$8),IF(AND(N147="Sex",(F147-E147)&lt;($AB$1-$W$1)),($AB$1-(F147-E147)),IF(AND(O147&gt;($AB$1-$W$1),D147&gt;$Z$4),"",IF(AND(B147&gt;=$T$1,(F147-E147)&gt;($AB$1-$W$1)),"",IF(AND(D147&gt;=$Y$4,I147=$Z$8,S147=""),($AB$1-(F147-E147)),IF(AND(P147&lt;&gt;"",S147&lt;&gt;""),I147-$Z$8,IF(AND(P147&lt;&gt;"",D147&gt;$Y$4),$AB$1-(F147-E147),"")))))))))))))))))</f>
        <v/>
      </c>
      <c r="M147" s="107" t="str">
        <f>IFERROR(IF(H147="","",IF(B147=VLOOKUP(B147,Feriados[],2,0),(H147-D147)-(G147-E147),"")),"")</f>
        <v/>
      </c>
      <c r="N147" s="38" t="str">
        <f t="shared" si="13"/>
        <v>Qui</v>
      </c>
      <c r="O147" s="112">
        <f t="shared" si="14"/>
        <v>4.166666666666663E-2</v>
      </c>
      <c r="P147" s="113" t="str">
        <f>IF(B147=_xlfn.XLOOKUP(B147,Feriados[FE Oficial],Feriados[FE Talvez],"",0),"",IF(B147&lt;$T$1,"",IF(Q147="Consulta","",IF(Q147="Compensado","",IF(N147="Sáb","",IF(S147&lt;&gt;"",(S147-R147)-(($AB$1-O147)-(D147-$Z$4)),IF(O147&gt;$AB$1,O147-$AB$1,IF(C147&gt;$Z$4,C147-$Z$4,IF(AND(N147="Sex",G147&lt;&gt;"",H147=""),$Z$3-G147,IF(AND(G147&lt;&gt;"",H147=""),$Z$3-G147,IF(AND(N147="Sex",H147&lt;$Y$3),$Z$3-H147,IF(AND(N147&lt;&gt;"Sex",H147&gt;$AA$8),"",IF(AND(N147="Sex",H147&gt;$Z$8),"",IF(AND(N147&lt;&gt;"Sex",I147&gt;$Z$8),$Z$8-H147,IF(AND(N147&lt;&gt;"Sex",H147&lt;$Y$8),$Z$8-H147,"")))))))))))))))</f>
        <v/>
      </c>
      <c r="Q147" s="33"/>
      <c r="R147" s="33"/>
      <c r="S147" s="33"/>
    </row>
    <row r="148" spans="1:19" x14ac:dyDescent="0.25">
      <c r="A148" s="116" t="s">
        <v>194</v>
      </c>
      <c r="B148" s="32">
        <v>43841</v>
      </c>
      <c r="C148" s="39">
        <f t="shared" si="10"/>
        <v>0.33333333333333331</v>
      </c>
      <c r="D148" s="33">
        <v>0.29166666666666669</v>
      </c>
      <c r="E148" s="33">
        <v>0.5</v>
      </c>
      <c r="F148" s="39">
        <f t="shared" si="11"/>
        <v>0.54166666666666663</v>
      </c>
      <c r="G148" s="33">
        <v>0.54166666666666663</v>
      </c>
      <c r="H148" s="33">
        <v>0.70833333333333337</v>
      </c>
      <c r="I148" s="39">
        <f>IFERROR(IF(B148=VLOOKUP(B148,Feriados[],2,0),H148,IF(N148="Sáb",H148,IF(AND(B148&lt;$T$1,H148&lt;=$AA$3),$Z$3,IF(AND(N148="Sex",H148&gt;$AA$3),H148,IF(H148&lt;=$AA$3,$Z$3,IF(H148&lt;=$AA$8,$Z$8,H148)))))),IF(N148="Sáb",H148,IF(AND(B148&lt;$T$1,H148&lt;=$AA$3),$Z$3,IF(AND(N148="Sex",H148&gt;$AA$3),H148,IF(H148&lt;=$AA$3,$Z$3,IF(H148&lt;=$AA$8,$Z$8,H148))))))</f>
        <v>0.70833333333333337</v>
      </c>
      <c r="J148" s="33">
        <f t="shared" si="12"/>
        <v>0.33333333333333331</v>
      </c>
      <c r="K148" s="33">
        <f>IFERROR(IF(H148="","",IF(B148=VLOOKUP(B148,Feriados[],2,0),(H148-D148)-(G148-E148),IF(D148&lt;=$Y$4,(I148-D148)-(G148-E148),(I148-C148)-(F148-E148)))),IF(AND(D148&lt;=$Y$4,F148-E148=$AB$1),(I148-D148)-(F148-E148),IF(D148&lt;$Y$4,(I148-D148)-(G148-E148),(I148-C148)-(F148-E148))))</f>
        <v>0.37500000000000006</v>
      </c>
      <c r="L148" s="40">
        <f>IF(B148=_xlfn.XLOOKUP(B148,Feriados[FE Oficial],Feriados[FE Talvez],"",0),"",IF(Q148="Compensado","",IF(AND(N148="Sex",D148&lt;$Y$4),($Z$4-D148)+$AB$1-(F148-E148)+(I148-$Z$3),IF(AND(N148="Sex",I148&gt;$Z$3),($AB$1-(F148-E148))+(I148-$Z$3),IF(AND(N148="Sex",E148&lt;&gt;"",D148&lt;$Y$4),($Z$4-D148)+$AB$1-(F148-E148)+(I148-$Z$3),IF(N148="Sáb",(I148-D148)-(G148-E148)-(S148-R148),IF(AND(B148&lt;$T$1,I148&gt;$Z$3),H148-$Z$3,IF(D148&lt;$Y$4,($Z$4-D148)+($AB$1-(F148-E148))+(I148-$Z$8)+(S148-R148),IF(AND(S148&lt;&gt;"",D148&gt;$Z$4),(S148-R148)-($AB$1-(F148-E148)),IF(AND(S148&lt;&gt;"",D148&lt;$Y$4),(S148-R148)-($AB$1-(F148-E148)+($Z$4-D148)),IF(I148&gt;$Z$8,($AB$1-(F148-E148))+(I148-$Z$8),IF(AND(N148="Sex",(F148-E148)&lt;($AB$1-$W$1)),($AB$1-(F148-E148)),IF(AND(O148&gt;($AB$1-$W$1),D148&gt;$Z$4),"",IF(AND(B148&gt;=$T$1,(F148-E148)&gt;($AB$1-$W$1)),"",IF(AND(D148&gt;=$Y$4,I148=$Z$8,S148=""),($AB$1-(F148-E148)),IF(AND(P148&lt;&gt;"",S148&lt;&gt;""),I148-$Z$8,IF(AND(P148&lt;&gt;"",D148&gt;$Y$4),$AB$1-(F148-E148),"")))))))))))))))))</f>
        <v>4.1666666666666657E-2</v>
      </c>
      <c r="M148" s="107" t="str">
        <f>IFERROR(IF(H148="","",IF(B148=VLOOKUP(B148,Feriados[],2,0),(H148-D148)-(G148-E148),"")),"")</f>
        <v/>
      </c>
      <c r="N148" s="38" t="str">
        <f t="shared" si="13"/>
        <v>Sex</v>
      </c>
      <c r="O148" s="112">
        <f t="shared" si="14"/>
        <v>4.166666666666663E-2</v>
      </c>
      <c r="P148" s="113" t="str">
        <f>IF(B148=_xlfn.XLOOKUP(B148,Feriados[FE Oficial],Feriados[FE Talvez],"",0),"",IF(B148&lt;$T$1,"",IF(Q148="Consulta","",IF(Q148="Compensado","",IF(N148="Sáb","",IF(S148&lt;&gt;"",(S148-R148)-(($AB$1-O148)-(D148-$Z$4)),IF(O148&gt;$AB$1,O148-$AB$1,IF(C148&gt;$Z$4,C148-$Z$4,IF(AND(N148="Sex",G148&lt;&gt;"",H148=""),$Z$3-G148,IF(AND(G148&lt;&gt;"",H148=""),$Z$3-G148,IF(AND(N148="Sex",H148&lt;$Y$3),$Z$3-H148,IF(AND(N148&lt;&gt;"Sex",H148&gt;$AA$8),"",IF(AND(N148="Sex",H148&gt;$Z$8),"",IF(AND(N148&lt;&gt;"Sex",I148&gt;$Z$8),$Z$8-H148,IF(AND(N148&lt;&gt;"Sex",H148&lt;$Y$8),$Z$8-H148,"")))))))))))))))</f>
        <v/>
      </c>
      <c r="Q148" s="33"/>
      <c r="R148" s="33"/>
      <c r="S148" s="33"/>
    </row>
    <row r="149" spans="1:19" x14ac:dyDescent="0.25">
      <c r="A149" s="115" t="s">
        <v>191</v>
      </c>
      <c r="B149" s="32">
        <v>43841</v>
      </c>
      <c r="C149" s="39">
        <f t="shared" si="10"/>
        <v>0.33333333333333331</v>
      </c>
      <c r="D149" s="33">
        <v>0.33333333333333331</v>
      </c>
      <c r="E149" s="33">
        <v>0.5</v>
      </c>
      <c r="F149" s="39">
        <f t="shared" si="11"/>
        <v>0.54166666666666663</v>
      </c>
      <c r="G149" s="33">
        <v>0.54166666666666663</v>
      </c>
      <c r="H149" s="33">
        <v>0.70833333333333337</v>
      </c>
      <c r="I149" s="39">
        <f>IFERROR(IF(B149=VLOOKUP(B149,Feriados[],2,0),H149,IF(N149="Sáb",H149,IF(AND(B149&lt;$T$1,H149&lt;=$AA$3),$Z$3,IF(AND(N149="Sex",H149&gt;$AA$3),H149,IF(H149&lt;=$AA$3,$Z$3,IF(H149&lt;=$AA$8,$Z$8,H149)))))),IF(N149="Sáb",H149,IF(AND(B149&lt;$T$1,H149&lt;=$AA$3),$Z$3,IF(AND(N149="Sex",H149&gt;$AA$3),H149,IF(H149&lt;=$AA$3,$Z$3,IF(H149&lt;=$AA$8,$Z$8,H149))))))</f>
        <v>0.70833333333333337</v>
      </c>
      <c r="J149" s="33">
        <f t="shared" si="12"/>
        <v>0.33333333333333343</v>
      </c>
      <c r="K149" s="33">
        <f>IFERROR(IF(H149="","",IF(B149=VLOOKUP(B149,Feriados[],2,0),(H149-D149)-(G149-E149),IF(D149&lt;=$Y$4,(I149-D149)-(G149-E149),(I149-C149)-(F149-E149)))),IF(AND(D149&lt;=$Y$4,F149-E149=$AB$1),(I149-D149)-(F149-E149),IF(D149&lt;$Y$4,(I149-D149)-(G149-E149),(I149-C149)-(F149-E149))))</f>
        <v>0.33333333333333343</v>
      </c>
      <c r="L149" s="40" t="str">
        <f>IF(B149=_xlfn.XLOOKUP(B149,Feriados[FE Oficial],Feriados[FE Talvez],"",0),"",IF(Q149="Compensado","",IF(AND(N149="Sex",D149&lt;$Y$4),($Z$4-D149)+$AB$1-(F149-E149)+(I149-$Z$3),IF(AND(N149="Sex",I149&gt;$Z$3),($AB$1-(F149-E149))+(I149-$Z$3),IF(AND(N149="Sex",E149&lt;&gt;"",D149&lt;$Y$4),($Z$4-D149)+$AB$1-(F149-E149)+(I149-$Z$3),IF(N149="Sáb",(I149-D149)-(G149-E149)-(S149-R149),IF(AND(B149&lt;$T$1,I149&gt;$Z$3),H149-$Z$3,IF(D149&lt;$Y$4,($Z$4-D149)+($AB$1-(F149-E149))+(I149-$Z$8)+(S149-R149),IF(AND(S149&lt;&gt;"",D149&gt;$Z$4),(S149-R149)-($AB$1-(F149-E149)),IF(AND(S149&lt;&gt;"",D149&lt;$Y$4),(S149-R149)-($AB$1-(F149-E149)+($Z$4-D149)),IF(I149&gt;$Z$8,($AB$1-(F149-E149))+(I149-$Z$8),IF(AND(N149="Sex",(F149-E149)&lt;($AB$1-$W$1)),($AB$1-(F149-E149)),IF(AND(O149&gt;($AB$1-$W$1),D149&gt;$Z$4),"",IF(AND(B149&gt;=$T$1,(F149-E149)&gt;($AB$1-$W$1)),"",IF(AND(D149&gt;=$Y$4,I149=$Z$8,S149=""),($AB$1-(F149-E149)),IF(AND(P149&lt;&gt;"",S149&lt;&gt;""),I149-$Z$8,IF(AND(P149&lt;&gt;"",D149&gt;$Y$4),$AB$1-(F149-E149),"")))))))))))))))))</f>
        <v/>
      </c>
      <c r="M149" s="107" t="str">
        <f>IFERROR(IF(H149="","",IF(B149=VLOOKUP(B149,Feriados[],2,0),(H149-D149)-(G149-E149),"")),"")</f>
        <v/>
      </c>
      <c r="N149" s="38" t="str">
        <f t="shared" si="13"/>
        <v>Sex</v>
      </c>
      <c r="O149" s="112">
        <f t="shared" si="14"/>
        <v>4.166666666666663E-2</v>
      </c>
      <c r="P149" s="113" t="str">
        <f>IF(B149=_xlfn.XLOOKUP(B149,Feriados[FE Oficial],Feriados[FE Talvez],"",0),"",IF(B149&lt;$T$1,"",IF(Q149="Consulta","",IF(Q149="Compensado","",IF(N149="Sáb","",IF(S149&lt;&gt;"",(S149-R149)-(($AB$1-O149)-(D149-$Z$4)),IF(O149&gt;$AB$1,O149-$AB$1,IF(C149&gt;$Z$4,C149-$Z$4,IF(AND(N149="Sex",G149&lt;&gt;"",H149=""),$Z$3-G149,IF(AND(G149&lt;&gt;"",H149=""),$Z$3-G149,IF(AND(N149="Sex",H149&lt;$Y$3),$Z$3-H149,IF(AND(N149&lt;&gt;"Sex",H149&gt;$AA$8),"",IF(AND(N149="Sex",H149&gt;$Z$8),"",IF(AND(N149&lt;&gt;"Sex",I149&gt;$Z$8),$Z$8-H149,IF(AND(N149&lt;&gt;"Sex",H149&lt;$Y$8),$Z$8-H149,"")))))))))))))))</f>
        <v/>
      </c>
      <c r="Q149" s="33"/>
      <c r="R149" s="33"/>
      <c r="S149" s="33"/>
    </row>
    <row r="150" spans="1:19" x14ac:dyDescent="0.25">
      <c r="A150" s="115" t="s">
        <v>197</v>
      </c>
      <c r="B150" s="32">
        <v>43841</v>
      </c>
      <c r="C150" s="39">
        <f t="shared" si="10"/>
        <v>0.33333333333333331</v>
      </c>
      <c r="D150" s="33">
        <v>0.33333333333333331</v>
      </c>
      <c r="E150" s="33">
        <v>0.48125000000000001</v>
      </c>
      <c r="F150" s="39">
        <f t="shared" si="11"/>
        <v>0.5229166666666667</v>
      </c>
      <c r="G150" s="33">
        <v>0.52083333333333337</v>
      </c>
      <c r="H150" s="33">
        <v>0.70833333333333337</v>
      </c>
      <c r="I150" s="39">
        <f>IFERROR(IF(B150=VLOOKUP(B150,Feriados[],2,0),H150,IF(N150="Sáb",H150,IF(AND(B150&lt;$T$1,H150&lt;=$AA$3),$Z$3,IF(AND(N150="Sex",H150&gt;$AA$3),H150,IF(H150&lt;=$AA$3,$Z$3,IF(H150&lt;=$AA$8,$Z$8,H150)))))),IF(N150="Sáb",H150,IF(AND(B150&lt;$T$1,H150&lt;=$AA$3),$Z$3,IF(AND(N150="Sex",H150&gt;$AA$3),H150,IF(H150&lt;=$AA$3,$Z$3,IF(H150&lt;=$AA$8,$Z$8,H150))))))</f>
        <v>0.70833333333333337</v>
      </c>
      <c r="J150" s="33">
        <f t="shared" si="12"/>
        <v>0.33333333333333331</v>
      </c>
      <c r="K150" s="33">
        <f>IFERROR(IF(H150="","",IF(B150=VLOOKUP(B150,Feriados[],2,0),(H150-D150)-(G150-E150),IF(D150&lt;=$Y$4,(I150-D150)-(G150-E150),(I150-C150)-(F150-E150)))),IF(AND(D150&lt;=$Y$4,F150-E150=$AB$1),(I150-D150)-(F150-E150),IF(D150&lt;$Y$4,(I150-D150)-(G150-E150),(I150-C150)-(F150-E150))))</f>
        <v>0.33333333333333337</v>
      </c>
      <c r="L150" s="40" t="str">
        <f>IF(B150=_xlfn.XLOOKUP(B150,Feriados[FE Oficial],Feriados[FE Talvez],"",0),"",IF(Q150="Compensado","",IF(AND(N150="Sex",D150&lt;$Y$4),($Z$4-D150)+$AB$1-(F150-E150)+(I150-$Z$3),IF(AND(N150="Sex",I150&gt;$Z$3),($AB$1-(F150-E150))+(I150-$Z$3),IF(AND(N150="Sex",E150&lt;&gt;"",D150&lt;$Y$4),($Z$4-D150)+$AB$1-(F150-E150)+(I150-$Z$3),IF(N150="Sáb",(I150-D150)-(G150-E150)-(S150-R150),IF(AND(B150&lt;$T$1,I150&gt;$Z$3),H150-$Z$3,IF(D150&lt;$Y$4,($Z$4-D150)+($AB$1-(F150-E150))+(I150-$Z$8)+(S150-R150),IF(AND(S150&lt;&gt;"",D150&gt;$Z$4),(S150-R150)-($AB$1-(F150-E150)),IF(AND(S150&lt;&gt;"",D150&lt;$Y$4),(S150-R150)-($AB$1-(F150-E150)+($Z$4-D150)),IF(I150&gt;$Z$8,($AB$1-(F150-E150))+(I150-$Z$8),IF(AND(N150="Sex",(F150-E150)&lt;($AB$1-$W$1)),($AB$1-(F150-E150)),IF(AND(O150&gt;($AB$1-$W$1),D150&gt;$Z$4),"",IF(AND(B150&gt;=$T$1,(F150-E150)&gt;($AB$1-$W$1)),"",IF(AND(D150&gt;=$Y$4,I150=$Z$8,S150=""),($AB$1-(F150-E150)),IF(AND(P150&lt;&gt;"",S150&lt;&gt;""),I150-$Z$8,IF(AND(P150&lt;&gt;"",D150&gt;$Y$4),$AB$1-(F150-E150),"")))))))))))))))))</f>
        <v/>
      </c>
      <c r="M150" s="107" t="str">
        <f>IFERROR(IF(H150="","",IF(B150=VLOOKUP(B150,Feriados[],2,0),(H150-D150)-(G150-E150),"")),"")</f>
        <v/>
      </c>
      <c r="N150" s="38" t="str">
        <f t="shared" si="13"/>
        <v>Sex</v>
      </c>
      <c r="O150" s="112">
        <f t="shared" si="14"/>
        <v>3.9583333333333359E-2</v>
      </c>
      <c r="P150" s="113" t="str">
        <f>IF(B150=_xlfn.XLOOKUP(B150,Feriados[FE Oficial],Feriados[FE Talvez],"",0),"",IF(B150&lt;$T$1,"",IF(Q150="Consulta","",IF(Q150="Compensado","",IF(N150="Sáb","",IF(S150&lt;&gt;"",(S150-R150)-(($AB$1-O150)-(D150-$Z$4)),IF(O150&gt;$AB$1,O150-$AB$1,IF(C150&gt;$Z$4,C150-$Z$4,IF(AND(N150="Sex",G150&lt;&gt;"",H150=""),$Z$3-G150,IF(AND(G150&lt;&gt;"",H150=""),$Z$3-G150,IF(AND(N150="Sex",H150&lt;$Y$3),$Z$3-H150,IF(AND(N150&lt;&gt;"Sex",H150&gt;$AA$8),"",IF(AND(N150="Sex",H150&gt;$Z$8),"",IF(AND(N150&lt;&gt;"Sex",I150&gt;$Z$8),$Z$8-H150,IF(AND(N150&lt;&gt;"Sex",H150&lt;$Y$8),$Z$8-H150,"")))))))))))))))</f>
        <v/>
      </c>
      <c r="Q150" s="33"/>
      <c r="R150" s="33"/>
      <c r="S150" s="33"/>
    </row>
    <row r="151" spans="1:19" x14ac:dyDescent="0.25">
      <c r="A151" s="115" t="s">
        <v>190</v>
      </c>
      <c r="B151" s="32">
        <v>43841</v>
      </c>
      <c r="C151" s="39">
        <f t="shared" si="10"/>
        <v>0.33333333333333331</v>
      </c>
      <c r="D151" s="33">
        <v>0.32291666666666669</v>
      </c>
      <c r="E151" s="33">
        <v>0.47986111111111113</v>
      </c>
      <c r="F151" s="39">
        <f t="shared" si="11"/>
        <v>0.52152777777777781</v>
      </c>
      <c r="G151" s="33">
        <v>0.52083333333333337</v>
      </c>
      <c r="H151" s="33">
        <v>0.70833333333333337</v>
      </c>
      <c r="I151" s="39">
        <f>IFERROR(IF(B151=VLOOKUP(B151,Feriados[],2,0),H151,IF(N151="Sáb",H151,IF(AND(B151&lt;$T$1,H151&lt;=$AA$3),$Z$3,IF(AND(N151="Sex",H151&gt;$AA$3),H151,IF(H151&lt;=$AA$3,$Z$3,IF(H151&lt;=$AA$8,$Z$8,H151)))))),IF(N151="Sáb",H151,IF(AND(B151&lt;$T$1,H151&lt;=$AA$3),$Z$3,IF(AND(N151="Sex",H151&gt;$AA$3),H151,IF(H151&lt;=$AA$3,$Z$3,IF(H151&lt;=$AA$8,$Z$8,H151))))))</f>
        <v>0.70833333333333337</v>
      </c>
      <c r="J151" s="33">
        <f t="shared" si="12"/>
        <v>0.33333333333333331</v>
      </c>
      <c r="K151" s="33">
        <f>IFERROR(IF(H151="","",IF(B151=VLOOKUP(B151,Feriados[],2,0),(H151-D151)-(G151-E151),IF(D151&lt;=$Y$4,(I151-D151)-(G151-E151),(I151-C151)-(F151-E151)))),IF(AND(D151&lt;=$Y$4,F151-E151=$AB$1),(I151-D151)-(F151-E151),IF(D151&lt;$Y$4,(I151-D151)-(G151-E151),(I151-C151)-(F151-E151))))</f>
        <v>0.34375</v>
      </c>
      <c r="L151" s="40">
        <f>IF(B151=_xlfn.XLOOKUP(B151,Feriados[FE Oficial],Feriados[FE Talvez],"",0),"",IF(Q151="Compensado","",IF(AND(N151="Sex",D151&lt;$Y$4),($Z$4-D151)+$AB$1-(F151-E151)+(I151-$Z$3),IF(AND(N151="Sex",I151&gt;$Z$3),($AB$1-(F151-E151))+(I151-$Z$3),IF(AND(N151="Sex",E151&lt;&gt;"",D151&lt;$Y$4),($Z$4-D151)+$AB$1-(F151-E151)+(I151-$Z$3),IF(N151="Sáb",(I151-D151)-(G151-E151)-(S151-R151),IF(AND(B151&lt;$T$1,I151&gt;$Z$3),H151-$Z$3,IF(D151&lt;$Y$4,($Z$4-D151)+($AB$1-(F151-E151))+(I151-$Z$8)+(S151-R151),IF(AND(S151&lt;&gt;"",D151&gt;$Z$4),(S151-R151)-($AB$1-(F151-E151)),IF(AND(S151&lt;&gt;"",D151&lt;$Y$4),(S151-R151)-($AB$1-(F151-E151)+($Z$4-D151)),IF(I151&gt;$Z$8,($AB$1-(F151-E151))+(I151-$Z$8),IF(AND(N151="Sex",(F151-E151)&lt;($AB$1-$W$1)),($AB$1-(F151-E151)),IF(AND(O151&gt;($AB$1-$W$1),D151&gt;$Z$4),"",IF(AND(B151&gt;=$T$1,(F151-E151)&gt;($AB$1-$W$1)),"",IF(AND(D151&gt;=$Y$4,I151=$Z$8,S151=""),($AB$1-(F151-E151)),IF(AND(P151&lt;&gt;"",S151&lt;&gt;""),I151-$Z$8,IF(AND(P151&lt;&gt;"",D151&gt;$Y$4),$AB$1-(F151-E151),"")))))))))))))))))</f>
        <v>1.0416666666666609E-2</v>
      </c>
      <c r="M151" s="107" t="str">
        <f>IFERROR(IF(H151="","",IF(B151=VLOOKUP(B151,Feriados[],2,0),(H151-D151)-(G151-E151),"")),"")</f>
        <v/>
      </c>
      <c r="N151" s="38" t="str">
        <f t="shared" si="13"/>
        <v>Sex</v>
      </c>
      <c r="O151" s="112">
        <f t="shared" si="14"/>
        <v>4.0972222222222243E-2</v>
      </c>
      <c r="P151" s="113" t="str">
        <f>IF(B151=_xlfn.XLOOKUP(B151,Feriados[FE Oficial],Feriados[FE Talvez],"",0),"",IF(B151&lt;$T$1,"",IF(Q151="Consulta","",IF(Q151="Compensado","",IF(N151="Sáb","",IF(S151&lt;&gt;"",(S151-R151)-(($AB$1-O151)-(D151-$Z$4)),IF(O151&gt;$AB$1,O151-$AB$1,IF(C151&gt;$Z$4,C151-$Z$4,IF(AND(N151="Sex",G151&lt;&gt;"",H151=""),$Z$3-G151,IF(AND(G151&lt;&gt;"",H151=""),$Z$3-G151,IF(AND(N151="Sex",H151&lt;$Y$3),$Z$3-H151,IF(AND(N151&lt;&gt;"Sex",H151&gt;$AA$8),"",IF(AND(N151="Sex",H151&gt;$Z$8),"",IF(AND(N151&lt;&gt;"Sex",I151&gt;$Z$8),$Z$8-H151,IF(AND(N151&lt;&gt;"Sex",H151&lt;$Y$8),$Z$8-H151,"")))))))))))))))</f>
        <v/>
      </c>
      <c r="Q151" s="33"/>
      <c r="R151" s="33"/>
      <c r="S151" s="33"/>
    </row>
    <row r="152" spans="1:19" x14ac:dyDescent="0.25">
      <c r="A152" s="115" t="s">
        <v>175</v>
      </c>
      <c r="B152" s="32">
        <v>43841</v>
      </c>
      <c r="C152" s="39">
        <f t="shared" si="10"/>
        <v>0.33333333333333331</v>
      </c>
      <c r="D152" s="33">
        <v>0.33333333333333331</v>
      </c>
      <c r="E152" s="33">
        <v>0.5</v>
      </c>
      <c r="F152" s="39">
        <f t="shared" si="11"/>
        <v>0.54166666666666663</v>
      </c>
      <c r="G152" s="33">
        <v>0.54166666666666663</v>
      </c>
      <c r="H152" s="33">
        <v>0.70833333333333337</v>
      </c>
      <c r="I152" s="39">
        <f>IFERROR(IF(B152=VLOOKUP(B152,Feriados[],2,0),H152,IF(N152="Sáb",H152,IF(AND(B152&lt;$T$1,H152&lt;=$AA$3),$Z$3,IF(AND(N152="Sex",H152&gt;$AA$3),H152,IF(H152&lt;=$AA$3,$Z$3,IF(H152&lt;=$AA$8,$Z$8,H152)))))),IF(N152="Sáb",H152,IF(AND(B152&lt;$T$1,H152&lt;=$AA$3),$Z$3,IF(AND(N152="Sex",H152&gt;$AA$3),H152,IF(H152&lt;=$AA$3,$Z$3,IF(H152&lt;=$AA$8,$Z$8,H152))))))</f>
        <v>0.70833333333333337</v>
      </c>
      <c r="J152" s="33">
        <f t="shared" si="12"/>
        <v>0.33333333333333343</v>
      </c>
      <c r="K152" s="33">
        <f>IFERROR(IF(H152="","",IF(B152=VLOOKUP(B152,Feriados[],2,0),(H152-D152)-(G152-E152),IF(D152&lt;=$Y$4,(I152-D152)-(G152-E152),(I152-C152)-(F152-E152)))),IF(AND(D152&lt;=$Y$4,F152-E152=$AB$1),(I152-D152)-(F152-E152),IF(D152&lt;$Y$4,(I152-D152)-(G152-E152),(I152-C152)-(F152-E152))))</f>
        <v>0.33333333333333343</v>
      </c>
      <c r="L152" s="40" t="str">
        <f>IF(B152=_xlfn.XLOOKUP(B152,Feriados[FE Oficial],Feriados[FE Talvez],"",0),"",IF(Q152="Compensado","",IF(AND(N152="Sex",D152&lt;$Y$4),($Z$4-D152)+$AB$1-(F152-E152)+(I152-$Z$3),IF(AND(N152="Sex",I152&gt;$Z$3),($AB$1-(F152-E152))+(I152-$Z$3),IF(AND(N152="Sex",E152&lt;&gt;"",D152&lt;$Y$4),($Z$4-D152)+$AB$1-(F152-E152)+(I152-$Z$3),IF(N152="Sáb",(I152-D152)-(G152-E152)-(S152-R152),IF(AND(B152&lt;$T$1,I152&gt;$Z$3),H152-$Z$3,IF(D152&lt;$Y$4,($Z$4-D152)+($AB$1-(F152-E152))+(I152-$Z$8)+(S152-R152),IF(AND(S152&lt;&gt;"",D152&gt;$Z$4),(S152-R152)-($AB$1-(F152-E152)),IF(AND(S152&lt;&gt;"",D152&lt;$Y$4),(S152-R152)-($AB$1-(F152-E152)+($Z$4-D152)),IF(I152&gt;$Z$8,($AB$1-(F152-E152))+(I152-$Z$8),IF(AND(N152="Sex",(F152-E152)&lt;($AB$1-$W$1)),($AB$1-(F152-E152)),IF(AND(O152&gt;($AB$1-$W$1),D152&gt;$Z$4),"",IF(AND(B152&gt;=$T$1,(F152-E152)&gt;($AB$1-$W$1)),"",IF(AND(D152&gt;=$Y$4,I152=$Z$8,S152=""),($AB$1-(F152-E152)),IF(AND(P152&lt;&gt;"",S152&lt;&gt;""),I152-$Z$8,IF(AND(P152&lt;&gt;"",D152&gt;$Y$4),$AB$1-(F152-E152),"")))))))))))))))))</f>
        <v/>
      </c>
      <c r="M152" s="107" t="str">
        <f>IFERROR(IF(H152="","",IF(B152=VLOOKUP(B152,Feriados[],2,0),(H152-D152)-(G152-E152),"")),"")</f>
        <v/>
      </c>
      <c r="N152" s="38" t="str">
        <f t="shared" si="13"/>
        <v>Sex</v>
      </c>
      <c r="O152" s="112">
        <f t="shared" si="14"/>
        <v>4.166666666666663E-2</v>
      </c>
      <c r="P152" s="113" t="str">
        <f>IF(B152=_xlfn.XLOOKUP(B152,Feriados[FE Oficial],Feriados[FE Talvez],"",0),"",IF(B152&lt;$T$1,"",IF(Q152="Consulta","",IF(Q152="Compensado","",IF(N152="Sáb","",IF(S152&lt;&gt;"",(S152-R152)-(($AB$1-O152)-(D152-$Z$4)),IF(O152&gt;$AB$1,O152-$AB$1,IF(C152&gt;$Z$4,C152-$Z$4,IF(AND(N152="Sex",G152&lt;&gt;"",H152=""),$Z$3-G152,IF(AND(G152&lt;&gt;"",H152=""),$Z$3-G152,IF(AND(N152="Sex",H152&lt;$Y$3),$Z$3-H152,IF(AND(N152&lt;&gt;"Sex",H152&gt;$AA$8),"",IF(AND(N152="Sex",H152&gt;$Z$8),"",IF(AND(N152&lt;&gt;"Sex",I152&gt;$Z$8),$Z$8-H152,IF(AND(N152&lt;&gt;"Sex",H152&lt;$Y$8),$Z$8-H152,"")))))))))))))))</f>
        <v/>
      </c>
      <c r="Q152" s="33"/>
      <c r="R152" s="33"/>
      <c r="S152" s="33"/>
    </row>
    <row r="153" spans="1:19" x14ac:dyDescent="0.25">
      <c r="A153" s="115" t="s">
        <v>182</v>
      </c>
      <c r="B153" s="32">
        <v>43841</v>
      </c>
      <c r="C153" s="39">
        <f t="shared" si="10"/>
        <v>0.33333333333333331</v>
      </c>
      <c r="D153" s="33">
        <v>0.33333333333333331</v>
      </c>
      <c r="E153" s="33">
        <v>0.5</v>
      </c>
      <c r="F153" s="39">
        <f t="shared" si="11"/>
        <v>0.54166666666666663</v>
      </c>
      <c r="G153" s="33">
        <v>0.54166666666666663</v>
      </c>
      <c r="H153" s="33">
        <v>0.70833333333333337</v>
      </c>
      <c r="I153" s="39">
        <f>IFERROR(IF(B153=VLOOKUP(B153,Feriados[],2,0),H153,IF(N153="Sáb",H153,IF(AND(B153&lt;$T$1,H153&lt;=$AA$3),$Z$3,IF(AND(N153="Sex",H153&gt;$AA$3),H153,IF(H153&lt;=$AA$3,$Z$3,IF(H153&lt;=$AA$8,$Z$8,H153)))))),IF(N153="Sáb",H153,IF(AND(B153&lt;$T$1,H153&lt;=$AA$3),$Z$3,IF(AND(N153="Sex",H153&gt;$AA$3),H153,IF(H153&lt;=$AA$3,$Z$3,IF(H153&lt;=$AA$8,$Z$8,H153))))))</f>
        <v>0.70833333333333337</v>
      </c>
      <c r="J153" s="33">
        <f t="shared" si="12"/>
        <v>0.33333333333333343</v>
      </c>
      <c r="K153" s="33">
        <f>IFERROR(IF(H153="","",IF(B153=VLOOKUP(B153,Feriados[],2,0),(H153-D153)-(G153-E153),IF(D153&lt;=$Y$4,(I153-D153)-(G153-E153),(I153-C153)-(F153-E153)))),IF(AND(D153&lt;=$Y$4,F153-E153=$AB$1),(I153-D153)-(F153-E153),IF(D153&lt;$Y$4,(I153-D153)-(G153-E153),(I153-C153)-(F153-E153))))</f>
        <v>0.33333333333333343</v>
      </c>
      <c r="L153" s="40" t="str">
        <f>IF(B153=_xlfn.XLOOKUP(B153,Feriados[FE Oficial],Feriados[FE Talvez],"",0),"",IF(Q153="Compensado","",IF(AND(N153="Sex",D153&lt;$Y$4),($Z$4-D153)+$AB$1-(F153-E153)+(I153-$Z$3),IF(AND(N153="Sex",I153&gt;$Z$3),($AB$1-(F153-E153))+(I153-$Z$3),IF(AND(N153="Sex",E153&lt;&gt;"",D153&lt;$Y$4),($Z$4-D153)+$AB$1-(F153-E153)+(I153-$Z$3),IF(N153="Sáb",(I153-D153)-(G153-E153)-(S153-R153),IF(AND(B153&lt;$T$1,I153&gt;$Z$3),H153-$Z$3,IF(D153&lt;$Y$4,($Z$4-D153)+($AB$1-(F153-E153))+(I153-$Z$8)+(S153-R153),IF(AND(S153&lt;&gt;"",D153&gt;$Z$4),(S153-R153)-($AB$1-(F153-E153)),IF(AND(S153&lt;&gt;"",D153&lt;$Y$4),(S153-R153)-($AB$1-(F153-E153)+($Z$4-D153)),IF(I153&gt;$Z$8,($AB$1-(F153-E153))+(I153-$Z$8),IF(AND(N153="Sex",(F153-E153)&lt;($AB$1-$W$1)),($AB$1-(F153-E153)),IF(AND(O153&gt;($AB$1-$W$1),D153&gt;$Z$4),"",IF(AND(B153&gt;=$T$1,(F153-E153)&gt;($AB$1-$W$1)),"",IF(AND(D153&gt;=$Y$4,I153=$Z$8,S153=""),($AB$1-(F153-E153)),IF(AND(P153&lt;&gt;"",S153&lt;&gt;""),I153-$Z$8,IF(AND(P153&lt;&gt;"",D153&gt;$Y$4),$AB$1-(F153-E153),"")))))))))))))))))</f>
        <v/>
      </c>
      <c r="M153" s="107" t="str">
        <f>IFERROR(IF(H153="","",IF(B153=VLOOKUP(B153,Feriados[],2,0),(H153-D153)-(G153-E153),"")),"")</f>
        <v/>
      </c>
      <c r="N153" s="38" t="str">
        <f t="shared" si="13"/>
        <v>Sex</v>
      </c>
      <c r="O153" s="112">
        <f t="shared" si="14"/>
        <v>4.166666666666663E-2</v>
      </c>
      <c r="P153" s="113" t="str">
        <f>IF(B153=_xlfn.XLOOKUP(B153,Feriados[FE Oficial],Feriados[FE Talvez],"",0),"",IF(B153&lt;$T$1,"",IF(Q153="Consulta","",IF(Q153="Compensado","",IF(N153="Sáb","",IF(S153&lt;&gt;"",(S153-R153)-(($AB$1-O153)-(D153-$Z$4)),IF(O153&gt;$AB$1,O153-$AB$1,IF(C153&gt;$Z$4,C153-$Z$4,IF(AND(N153="Sex",G153&lt;&gt;"",H153=""),$Z$3-G153,IF(AND(G153&lt;&gt;"",H153=""),$Z$3-G153,IF(AND(N153="Sex",H153&lt;$Y$3),$Z$3-H153,IF(AND(N153&lt;&gt;"Sex",H153&gt;$AA$8),"",IF(AND(N153="Sex",H153&gt;$Z$8),"",IF(AND(N153&lt;&gt;"Sex",I153&gt;$Z$8),$Z$8-H153,IF(AND(N153&lt;&gt;"Sex",H153&lt;$Y$8),$Z$8-H153,"")))))))))))))))</f>
        <v/>
      </c>
      <c r="Q153" s="33"/>
      <c r="R153" s="33"/>
      <c r="S153" s="33"/>
    </row>
    <row r="154" spans="1:19" x14ac:dyDescent="0.25">
      <c r="A154" s="116" t="s">
        <v>194</v>
      </c>
      <c r="B154" s="32">
        <v>43844</v>
      </c>
      <c r="C154" s="39">
        <f t="shared" si="10"/>
        <v>0.33333333333333331</v>
      </c>
      <c r="D154" s="33">
        <v>0.29166666666666669</v>
      </c>
      <c r="E154" s="33">
        <v>0.5</v>
      </c>
      <c r="F154" s="39">
        <f t="shared" si="11"/>
        <v>0.54166666666666663</v>
      </c>
      <c r="G154" s="33">
        <v>0.54166666666666663</v>
      </c>
      <c r="H154" s="33">
        <v>0.75</v>
      </c>
      <c r="I154" s="39">
        <f>IFERROR(IF(B154=VLOOKUP(B154,Feriados[],2,0),H154,IF(N154="Sáb",H154,IF(AND(B154&lt;$T$1,H154&lt;=$AA$3),$Z$3,IF(AND(N154="Sex",H154&gt;$AA$3),H154,IF(H154&lt;=$AA$3,$Z$3,IF(H154&lt;=$AA$8,$Z$8,H154)))))),IF(N154="Sáb",H154,IF(AND(B154&lt;$T$1,H154&lt;=$AA$3),$Z$3,IF(AND(N154="Sex",H154&gt;$AA$3),H154,IF(H154&lt;=$AA$3,$Z$3,IF(H154&lt;=$AA$8,$Z$8,H154))))))</f>
        <v>0.75</v>
      </c>
      <c r="J154" s="33">
        <f t="shared" si="12"/>
        <v>0.375</v>
      </c>
      <c r="K154" s="33">
        <f>IFERROR(IF(H154="","",IF(B154=VLOOKUP(B154,Feriados[],2,0),(H154-D154)-(G154-E154),IF(D154&lt;=$Y$4,(I154-D154)-(G154-E154),(I154-C154)-(F154-E154)))),IF(AND(D154&lt;=$Y$4,F154-E154=$AB$1),(I154-D154)-(F154-E154),IF(D154&lt;$Y$4,(I154-D154)-(G154-E154),(I154-C154)-(F154-E154))))</f>
        <v>0.41666666666666669</v>
      </c>
      <c r="L154" s="40">
        <f>IF(B154=_xlfn.XLOOKUP(B154,Feriados[FE Oficial],Feriados[FE Talvez],"",0),"",IF(Q154="Compensado","",IF(AND(N154="Sex",D154&lt;$Y$4),($Z$4-D154)+$AB$1-(F154-E154)+(I154-$Z$3),IF(AND(N154="Sex",I154&gt;$Z$3),($AB$1-(F154-E154))+(I154-$Z$3),IF(AND(N154="Sex",E154&lt;&gt;"",D154&lt;$Y$4),($Z$4-D154)+$AB$1-(F154-E154)+(I154-$Z$3),IF(N154="Sáb",(I154-D154)-(G154-E154)-(S154-R154),IF(AND(B154&lt;$T$1,I154&gt;$Z$3),H154-$Z$3,IF(D154&lt;$Y$4,($Z$4-D154)+($AB$1-(F154-E154))+(I154-$Z$8)+(S154-R154),IF(AND(S154&lt;&gt;"",D154&gt;$Z$4),(S154-R154)-($AB$1-(F154-E154)),IF(AND(S154&lt;&gt;"",D154&lt;$Y$4),(S154-R154)-($AB$1-(F154-E154)+($Z$4-D154)),IF(I154&gt;$Z$8,($AB$1-(F154-E154))+(I154-$Z$8),IF(AND(N154="Sex",(F154-E154)&lt;($AB$1-$W$1)),($AB$1-(F154-E154)),IF(AND(O154&gt;($AB$1-$W$1),D154&gt;$Z$4),"",IF(AND(B154&gt;=$T$1,(F154-E154)&gt;($AB$1-$W$1)),"",IF(AND(D154&gt;=$Y$4,I154=$Z$8,S154=""),($AB$1-(F154-E154)),IF(AND(P154&lt;&gt;"",S154&lt;&gt;""),I154-$Z$8,IF(AND(P154&lt;&gt;"",D154&gt;$Y$4),$AB$1-(F154-E154),"")))))))))))))))))</f>
        <v>4.1666666666666664E-2</v>
      </c>
      <c r="M154" s="107" t="str">
        <f>IFERROR(IF(H154="","",IF(B154=VLOOKUP(B154,Feriados[],2,0),(H154-D154)-(G154-E154),"")),"")</f>
        <v/>
      </c>
      <c r="N154" s="38" t="str">
        <f t="shared" si="13"/>
        <v>Seg</v>
      </c>
      <c r="O154" s="112">
        <f t="shared" si="14"/>
        <v>4.166666666666663E-2</v>
      </c>
      <c r="P154" s="113" t="str">
        <f>IF(B154=_xlfn.XLOOKUP(B154,Feriados[FE Oficial],Feriados[FE Talvez],"",0),"",IF(B154&lt;$T$1,"",IF(Q154="Consulta","",IF(Q154="Compensado","",IF(N154="Sáb","",IF(S154&lt;&gt;"",(S154-R154)-(($AB$1-O154)-(D154-$Z$4)),IF(O154&gt;$AB$1,O154-$AB$1,IF(C154&gt;$Z$4,C154-$Z$4,IF(AND(N154="Sex",G154&lt;&gt;"",H154=""),$Z$3-G154,IF(AND(G154&lt;&gt;"",H154=""),$Z$3-G154,IF(AND(N154="Sex",H154&lt;$Y$3),$Z$3-H154,IF(AND(N154&lt;&gt;"Sex",H154&gt;$AA$8),"",IF(AND(N154="Sex",H154&gt;$Z$8),"",IF(AND(N154&lt;&gt;"Sex",I154&gt;$Z$8),$Z$8-H154,IF(AND(N154&lt;&gt;"Sex",H154&lt;$Y$8),$Z$8-H154,"")))))))))))))))</f>
        <v/>
      </c>
      <c r="Q154" s="33"/>
      <c r="R154" s="33"/>
      <c r="S154" s="33"/>
    </row>
    <row r="155" spans="1:19" x14ac:dyDescent="0.25">
      <c r="A155" s="115" t="s">
        <v>191</v>
      </c>
      <c r="B155" s="32">
        <v>43844</v>
      </c>
      <c r="C155" s="39">
        <f t="shared" si="10"/>
        <v>0.33333333333333331</v>
      </c>
      <c r="D155" s="33">
        <v>0.32777777777777778</v>
      </c>
      <c r="E155" s="33">
        <v>0.5</v>
      </c>
      <c r="F155" s="39">
        <f t="shared" si="11"/>
        <v>0.54166666666666663</v>
      </c>
      <c r="G155" s="33">
        <v>0.54166666666666663</v>
      </c>
      <c r="H155" s="33">
        <v>0.75</v>
      </c>
      <c r="I155" s="39">
        <f>IFERROR(IF(B155=VLOOKUP(B155,Feriados[],2,0),H155,IF(N155="Sáb",H155,IF(AND(B155&lt;$T$1,H155&lt;=$AA$3),$Z$3,IF(AND(N155="Sex",H155&gt;$AA$3),H155,IF(H155&lt;=$AA$3,$Z$3,IF(H155&lt;=$AA$8,$Z$8,H155)))))),IF(N155="Sáb",H155,IF(AND(B155&lt;$T$1,H155&lt;=$AA$3),$Z$3,IF(AND(N155="Sex",H155&gt;$AA$3),H155,IF(H155&lt;=$AA$3,$Z$3,IF(H155&lt;=$AA$8,$Z$8,H155))))))</f>
        <v>0.75</v>
      </c>
      <c r="J155" s="33">
        <f t="shared" si="12"/>
        <v>0.375</v>
      </c>
      <c r="K155" s="33">
        <f>IFERROR(IF(H155="","",IF(B155=VLOOKUP(B155,Feriados[],2,0),(H155-D155)-(G155-E155),IF(D155&lt;=$Y$4,(I155-D155)-(G155-E155),(I155-C155)-(F155-E155)))),IF(AND(D155&lt;=$Y$4,F155-E155=$AB$1),(I155-D155)-(F155-E155),IF(D155&lt;$Y$4,(I155-D155)-(G155-E155),(I155-C155)-(F155-E155))))</f>
        <v>0.37500000000000006</v>
      </c>
      <c r="L155" s="40" t="str">
        <f>IF(B155=_xlfn.XLOOKUP(B155,Feriados[FE Oficial],Feriados[FE Talvez],"",0),"",IF(Q155="Compensado","",IF(AND(N155="Sex",D155&lt;$Y$4),($Z$4-D155)+$AB$1-(F155-E155)+(I155-$Z$3),IF(AND(N155="Sex",I155&gt;$Z$3),($AB$1-(F155-E155))+(I155-$Z$3),IF(AND(N155="Sex",E155&lt;&gt;"",D155&lt;$Y$4),($Z$4-D155)+$AB$1-(F155-E155)+(I155-$Z$3),IF(N155="Sáb",(I155-D155)-(G155-E155)-(S155-R155),IF(AND(B155&lt;$T$1,I155&gt;$Z$3),H155-$Z$3,IF(D155&lt;$Y$4,($Z$4-D155)+($AB$1-(F155-E155))+(I155-$Z$8)+(S155-R155),IF(AND(S155&lt;&gt;"",D155&gt;$Z$4),(S155-R155)-($AB$1-(F155-E155)),IF(AND(S155&lt;&gt;"",D155&lt;$Y$4),(S155-R155)-($AB$1-(F155-E155)+($Z$4-D155)),IF(I155&gt;$Z$8,($AB$1-(F155-E155))+(I155-$Z$8),IF(AND(N155="Sex",(F155-E155)&lt;($AB$1-$W$1)),($AB$1-(F155-E155)),IF(AND(O155&gt;($AB$1-$W$1),D155&gt;$Z$4),"",IF(AND(B155&gt;=$T$1,(F155-E155)&gt;($AB$1-$W$1)),"",IF(AND(D155&gt;=$Y$4,I155=$Z$8,S155=""),($AB$1-(F155-E155)),IF(AND(P155&lt;&gt;"",S155&lt;&gt;""),I155-$Z$8,IF(AND(P155&lt;&gt;"",D155&gt;$Y$4),$AB$1-(F155-E155),"")))))))))))))))))</f>
        <v/>
      </c>
      <c r="M155" s="107" t="str">
        <f>IFERROR(IF(H155="","",IF(B155=VLOOKUP(B155,Feriados[],2,0),(H155-D155)-(G155-E155),"")),"")</f>
        <v/>
      </c>
      <c r="N155" s="38" t="str">
        <f t="shared" si="13"/>
        <v>Seg</v>
      </c>
      <c r="O155" s="112">
        <f t="shared" si="14"/>
        <v>4.166666666666663E-2</v>
      </c>
      <c r="P155" s="113" t="str">
        <f>IF(B155=_xlfn.XLOOKUP(B155,Feriados[FE Oficial],Feriados[FE Talvez],"",0),"",IF(B155&lt;$T$1,"",IF(Q155="Consulta","",IF(Q155="Compensado","",IF(N155="Sáb","",IF(S155&lt;&gt;"",(S155-R155)-(($AB$1-O155)-(D155-$Z$4)),IF(O155&gt;$AB$1,O155-$AB$1,IF(C155&gt;$Z$4,C155-$Z$4,IF(AND(N155="Sex",G155&lt;&gt;"",H155=""),$Z$3-G155,IF(AND(G155&lt;&gt;"",H155=""),$Z$3-G155,IF(AND(N155="Sex",H155&lt;$Y$3),$Z$3-H155,IF(AND(N155&lt;&gt;"Sex",H155&gt;$AA$8),"",IF(AND(N155="Sex",H155&gt;$Z$8),"",IF(AND(N155&lt;&gt;"Sex",I155&gt;$Z$8),$Z$8-H155,IF(AND(N155&lt;&gt;"Sex",H155&lt;$Y$8),$Z$8-H155,"")))))))))))))))</f>
        <v/>
      </c>
      <c r="Q155" s="33"/>
      <c r="R155" s="33"/>
      <c r="S155" s="33"/>
    </row>
    <row r="156" spans="1:19" x14ac:dyDescent="0.25">
      <c r="A156" s="115" t="s">
        <v>197</v>
      </c>
      <c r="B156" s="32">
        <v>43844</v>
      </c>
      <c r="C156" s="39">
        <f t="shared" si="10"/>
        <v>0.33333333333333331</v>
      </c>
      <c r="D156" s="33">
        <v>0.3298611111111111</v>
      </c>
      <c r="E156" s="33">
        <v>0.48125000000000001</v>
      </c>
      <c r="F156" s="39">
        <f t="shared" si="11"/>
        <v>0.5229166666666667</v>
      </c>
      <c r="G156" s="33">
        <v>0.52430555555555558</v>
      </c>
      <c r="H156" s="33">
        <v>0.75</v>
      </c>
      <c r="I156" s="39">
        <f>IFERROR(IF(B156=VLOOKUP(B156,Feriados[],2,0),H156,IF(N156="Sáb",H156,IF(AND(B156&lt;$T$1,H156&lt;=$AA$3),$Z$3,IF(AND(N156="Sex",H156&gt;$AA$3),H156,IF(H156&lt;=$AA$3,$Z$3,IF(H156&lt;=$AA$8,$Z$8,H156)))))),IF(N156="Sáb",H156,IF(AND(B156&lt;$T$1,H156&lt;=$AA$3),$Z$3,IF(AND(N156="Sex",H156&gt;$AA$3),H156,IF(H156&lt;=$AA$3,$Z$3,IF(H156&lt;=$AA$8,$Z$8,H156))))))</f>
        <v>0.75</v>
      </c>
      <c r="J156" s="33">
        <f t="shared" si="12"/>
        <v>0.375</v>
      </c>
      <c r="K156" s="33">
        <f>IFERROR(IF(H156="","",IF(B156=VLOOKUP(B156,Feriados[],2,0),(H156-D156)-(G156-E156),IF(D156&lt;=$Y$4,(I156-D156)-(G156-E156),(I156-C156)-(F156-E156)))),IF(AND(D156&lt;=$Y$4,F156-E156=$AB$1),(I156-D156)-(F156-E156),IF(D156&lt;$Y$4,(I156-D156)-(G156-E156),(I156-C156)-(F156-E156))))</f>
        <v>0.375</v>
      </c>
      <c r="L156" s="40" t="str">
        <f>IF(B156=_xlfn.XLOOKUP(B156,Feriados[FE Oficial],Feriados[FE Talvez],"",0),"",IF(Q156="Compensado","",IF(AND(N156="Sex",D156&lt;$Y$4),($Z$4-D156)+$AB$1-(F156-E156)+(I156-$Z$3),IF(AND(N156="Sex",I156&gt;$Z$3),($AB$1-(F156-E156))+(I156-$Z$3),IF(AND(N156="Sex",E156&lt;&gt;"",D156&lt;$Y$4),($Z$4-D156)+$AB$1-(F156-E156)+(I156-$Z$3),IF(N156="Sáb",(I156-D156)-(G156-E156)-(S156-R156),IF(AND(B156&lt;$T$1,I156&gt;$Z$3),H156-$Z$3,IF(D156&lt;$Y$4,($Z$4-D156)+($AB$1-(F156-E156))+(I156-$Z$8)+(S156-R156),IF(AND(S156&lt;&gt;"",D156&gt;$Z$4),(S156-R156)-($AB$1-(F156-E156)),IF(AND(S156&lt;&gt;"",D156&lt;$Y$4),(S156-R156)-($AB$1-(F156-E156)+($Z$4-D156)),IF(I156&gt;$Z$8,($AB$1-(F156-E156))+(I156-$Z$8),IF(AND(N156="Sex",(F156-E156)&lt;($AB$1-$W$1)),($AB$1-(F156-E156)),IF(AND(O156&gt;($AB$1-$W$1),D156&gt;$Z$4),"",IF(AND(B156&gt;=$T$1,(F156-E156)&gt;($AB$1-$W$1)),"",IF(AND(D156&gt;=$Y$4,I156=$Z$8,S156=""),($AB$1-(F156-E156)),IF(AND(P156&lt;&gt;"",S156&lt;&gt;""),I156-$Z$8,IF(AND(P156&lt;&gt;"",D156&gt;$Y$4),$AB$1-(F156-E156),"")))))))))))))))))</f>
        <v/>
      </c>
      <c r="M156" s="107" t="str">
        <f>IFERROR(IF(H156="","",IF(B156=VLOOKUP(B156,Feriados[],2,0),(H156-D156)-(G156-E156),"")),"")</f>
        <v/>
      </c>
      <c r="N156" s="38" t="str">
        <f t="shared" si="13"/>
        <v>Seg</v>
      </c>
      <c r="O156" s="112">
        <f t="shared" si="14"/>
        <v>4.3055555555555569E-2</v>
      </c>
      <c r="P156" s="113">
        <f>IF(B156=_xlfn.XLOOKUP(B156,Feriados[FE Oficial],Feriados[FE Talvez],"",0),"",IF(B156&lt;$T$1,"",IF(Q156="Consulta","",IF(Q156="Compensado","",IF(N156="Sáb","",IF(S156&lt;&gt;"",(S156-R156)-(($AB$1-O156)-(D156-$Z$4)),IF(O156&gt;$AB$1,O156-$AB$1,IF(C156&gt;$Z$4,C156-$Z$4,IF(AND(N156="Sex",G156&lt;&gt;"",H156=""),$Z$3-G156,IF(AND(G156&lt;&gt;"",H156=""),$Z$3-G156,IF(AND(N156="Sex",H156&lt;$Y$3),$Z$3-H156,IF(AND(N156&lt;&gt;"Sex",H156&gt;$AA$8),"",IF(AND(N156="Sex",H156&gt;$Z$8),"",IF(AND(N156&lt;&gt;"Sex",I156&gt;$Z$8),$Z$8-H156,IF(AND(N156&lt;&gt;"Sex",H156&lt;$Y$8),$Z$8-H156,"")))))))))))))))</f>
        <v>1.3888888888889048E-3</v>
      </c>
      <c r="Q156" s="33"/>
      <c r="R156" s="33"/>
      <c r="S156" s="33"/>
    </row>
    <row r="157" spans="1:19" x14ac:dyDescent="0.25">
      <c r="A157" s="115" t="s">
        <v>190</v>
      </c>
      <c r="B157" s="32">
        <v>43844</v>
      </c>
      <c r="C157" s="39">
        <f t="shared" si="10"/>
        <v>0.33333333333333331</v>
      </c>
      <c r="D157" s="33">
        <v>0.3298611111111111</v>
      </c>
      <c r="E157" s="33">
        <v>0.48125000000000001</v>
      </c>
      <c r="F157" s="39">
        <f t="shared" si="11"/>
        <v>0.5229166666666667</v>
      </c>
      <c r="G157" s="33">
        <v>0.52222222222222225</v>
      </c>
      <c r="H157" s="33">
        <v>0.75</v>
      </c>
      <c r="I157" s="39">
        <f>IFERROR(IF(B157=VLOOKUP(B157,Feriados[],2,0),H157,IF(N157="Sáb",H157,IF(AND(B157&lt;$T$1,H157&lt;=$AA$3),$Z$3,IF(AND(N157="Sex",H157&gt;$AA$3),H157,IF(H157&lt;=$AA$3,$Z$3,IF(H157&lt;=$AA$8,$Z$8,H157)))))),IF(N157="Sáb",H157,IF(AND(B157&lt;$T$1,H157&lt;=$AA$3),$Z$3,IF(AND(N157="Sex",H157&gt;$AA$3),H157,IF(H157&lt;=$AA$3,$Z$3,IF(H157&lt;=$AA$8,$Z$8,H157))))))</f>
        <v>0.75</v>
      </c>
      <c r="J157" s="33">
        <f t="shared" si="12"/>
        <v>0.375</v>
      </c>
      <c r="K157" s="33">
        <f>IFERROR(IF(H157="","",IF(B157=VLOOKUP(B157,Feriados[],2,0),(H157-D157)-(G157-E157),IF(D157&lt;=$Y$4,(I157-D157)-(G157-E157),(I157-C157)-(F157-E157)))),IF(AND(D157&lt;=$Y$4,F157-E157=$AB$1),(I157-D157)-(F157-E157),IF(D157&lt;$Y$4,(I157-D157)-(G157-E157),(I157-C157)-(F157-E157))))</f>
        <v>0.375</v>
      </c>
      <c r="L157" s="40" t="str">
        <f>IF(B157=_xlfn.XLOOKUP(B157,Feriados[FE Oficial],Feriados[FE Talvez],"",0),"",IF(Q157="Compensado","",IF(AND(N157="Sex",D157&lt;$Y$4),($Z$4-D157)+$AB$1-(F157-E157)+(I157-$Z$3),IF(AND(N157="Sex",I157&gt;$Z$3),($AB$1-(F157-E157))+(I157-$Z$3),IF(AND(N157="Sex",E157&lt;&gt;"",D157&lt;$Y$4),($Z$4-D157)+$AB$1-(F157-E157)+(I157-$Z$3),IF(N157="Sáb",(I157-D157)-(G157-E157)-(S157-R157),IF(AND(B157&lt;$T$1,I157&gt;$Z$3),H157-$Z$3,IF(D157&lt;$Y$4,($Z$4-D157)+($AB$1-(F157-E157))+(I157-$Z$8)+(S157-R157),IF(AND(S157&lt;&gt;"",D157&gt;$Z$4),(S157-R157)-($AB$1-(F157-E157)),IF(AND(S157&lt;&gt;"",D157&lt;$Y$4),(S157-R157)-($AB$1-(F157-E157)+($Z$4-D157)),IF(I157&gt;$Z$8,($AB$1-(F157-E157))+(I157-$Z$8),IF(AND(N157="Sex",(F157-E157)&lt;($AB$1-$W$1)),($AB$1-(F157-E157)),IF(AND(O157&gt;($AB$1-$W$1),D157&gt;$Z$4),"",IF(AND(B157&gt;=$T$1,(F157-E157)&gt;($AB$1-$W$1)),"",IF(AND(D157&gt;=$Y$4,I157=$Z$8,S157=""),($AB$1-(F157-E157)),IF(AND(P157&lt;&gt;"",S157&lt;&gt;""),I157-$Z$8,IF(AND(P157&lt;&gt;"",D157&gt;$Y$4),$AB$1-(F157-E157),"")))))))))))))))))</f>
        <v/>
      </c>
      <c r="M157" s="107" t="str">
        <f>IFERROR(IF(H157="","",IF(B157=VLOOKUP(B157,Feriados[],2,0),(H157-D157)-(G157-E157),"")),"")</f>
        <v/>
      </c>
      <c r="N157" s="38" t="str">
        <f t="shared" si="13"/>
        <v>Seg</v>
      </c>
      <c r="O157" s="112">
        <f t="shared" si="14"/>
        <v>4.0972222222222243E-2</v>
      </c>
      <c r="P157" s="113" t="str">
        <f>IF(B157=_xlfn.XLOOKUP(B157,Feriados[FE Oficial],Feriados[FE Talvez],"",0),"",IF(B157&lt;$T$1,"",IF(Q157="Consulta","",IF(Q157="Compensado","",IF(N157="Sáb","",IF(S157&lt;&gt;"",(S157-R157)-(($AB$1-O157)-(D157-$Z$4)),IF(O157&gt;$AB$1,O157-$AB$1,IF(C157&gt;$Z$4,C157-$Z$4,IF(AND(N157="Sex",G157&lt;&gt;"",H157=""),$Z$3-G157,IF(AND(G157&lt;&gt;"",H157=""),$Z$3-G157,IF(AND(N157="Sex",H157&lt;$Y$3),$Z$3-H157,IF(AND(N157&lt;&gt;"Sex",H157&gt;$AA$8),"",IF(AND(N157="Sex",H157&gt;$Z$8),"",IF(AND(N157&lt;&gt;"Sex",I157&gt;$Z$8),$Z$8-H157,IF(AND(N157&lt;&gt;"Sex",H157&lt;$Y$8),$Z$8-H157,"")))))))))))))))</f>
        <v/>
      </c>
      <c r="Q157" s="33"/>
      <c r="R157" s="33"/>
      <c r="S157" s="33"/>
    </row>
    <row r="158" spans="1:19" x14ac:dyDescent="0.25">
      <c r="A158" s="115" t="s">
        <v>175</v>
      </c>
      <c r="B158" s="32">
        <v>43844</v>
      </c>
      <c r="C158" s="39">
        <f t="shared" si="10"/>
        <v>0.33333333333333331</v>
      </c>
      <c r="D158" s="33">
        <v>0.33333333333333331</v>
      </c>
      <c r="E158" s="33">
        <v>0.5</v>
      </c>
      <c r="F158" s="39">
        <f t="shared" si="11"/>
        <v>0.54166666666666663</v>
      </c>
      <c r="G158" s="33">
        <v>0.54166666666666663</v>
      </c>
      <c r="H158" s="33">
        <v>0.75</v>
      </c>
      <c r="I158" s="39">
        <f>IFERROR(IF(B158=VLOOKUP(B158,Feriados[],2,0),H158,IF(N158="Sáb",H158,IF(AND(B158&lt;$T$1,H158&lt;=$AA$3),$Z$3,IF(AND(N158="Sex",H158&gt;$AA$3),H158,IF(H158&lt;=$AA$3,$Z$3,IF(H158&lt;=$AA$8,$Z$8,H158)))))),IF(N158="Sáb",H158,IF(AND(B158&lt;$T$1,H158&lt;=$AA$3),$Z$3,IF(AND(N158="Sex",H158&gt;$AA$3),H158,IF(H158&lt;=$AA$3,$Z$3,IF(H158&lt;=$AA$8,$Z$8,H158))))))</f>
        <v>0.75</v>
      </c>
      <c r="J158" s="33">
        <f t="shared" si="12"/>
        <v>0.37500000000000006</v>
      </c>
      <c r="K158" s="33">
        <f>IFERROR(IF(H158="","",IF(B158=VLOOKUP(B158,Feriados[],2,0),(H158-D158)-(G158-E158),IF(D158&lt;=$Y$4,(I158-D158)-(G158-E158),(I158-C158)-(F158-E158)))),IF(AND(D158&lt;=$Y$4,F158-E158=$AB$1),(I158-D158)-(F158-E158),IF(D158&lt;$Y$4,(I158-D158)-(G158-E158),(I158-C158)-(F158-E158))))</f>
        <v>0.37500000000000006</v>
      </c>
      <c r="L158" s="40" t="str">
        <f>IF(B158=_xlfn.XLOOKUP(B158,Feriados[FE Oficial],Feriados[FE Talvez],"",0),"",IF(Q158="Compensado","",IF(AND(N158="Sex",D158&lt;$Y$4),($Z$4-D158)+$AB$1-(F158-E158)+(I158-$Z$3),IF(AND(N158="Sex",I158&gt;$Z$3),($AB$1-(F158-E158))+(I158-$Z$3),IF(AND(N158="Sex",E158&lt;&gt;"",D158&lt;$Y$4),($Z$4-D158)+$AB$1-(F158-E158)+(I158-$Z$3),IF(N158="Sáb",(I158-D158)-(G158-E158)-(S158-R158),IF(AND(B158&lt;$T$1,I158&gt;$Z$3),H158-$Z$3,IF(D158&lt;$Y$4,($Z$4-D158)+($AB$1-(F158-E158))+(I158-$Z$8)+(S158-R158),IF(AND(S158&lt;&gt;"",D158&gt;$Z$4),(S158-R158)-($AB$1-(F158-E158)),IF(AND(S158&lt;&gt;"",D158&lt;$Y$4),(S158-R158)-($AB$1-(F158-E158)+($Z$4-D158)),IF(I158&gt;$Z$8,($AB$1-(F158-E158))+(I158-$Z$8),IF(AND(N158="Sex",(F158-E158)&lt;($AB$1-$W$1)),($AB$1-(F158-E158)),IF(AND(O158&gt;($AB$1-$W$1),D158&gt;$Z$4),"",IF(AND(B158&gt;=$T$1,(F158-E158)&gt;($AB$1-$W$1)),"",IF(AND(D158&gt;=$Y$4,I158=$Z$8,S158=""),($AB$1-(F158-E158)),IF(AND(P158&lt;&gt;"",S158&lt;&gt;""),I158-$Z$8,IF(AND(P158&lt;&gt;"",D158&gt;$Y$4),$AB$1-(F158-E158),"")))))))))))))))))</f>
        <v/>
      </c>
      <c r="M158" s="107" t="str">
        <f>IFERROR(IF(H158="","",IF(B158=VLOOKUP(B158,Feriados[],2,0),(H158-D158)-(G158-E158),"")),"")</f>
        <v/>
      </c>
      <c r="N158" s="38" t="str">
        <f t="shared" si="13"/>
        <v>Seg</v>
      </c>
      <c r="O158" s="112">
        <f t="shared" si="14"/>
        <v>4.166666666666663E-2</v>
      </c>
      <c r="P158" s="113" t="str">
        <f>IF(B158=_xlfn.XLOOKUP(B158,Feriados[FE Oficial],Feriados[FE Talvez],"",0),"",IF(B158&lt;$T$1,"",IF(Q158="Consulta","",IF(Q158="Compensado","",IF(N158="Sáb","",IF(S158&lt;&gt;"",(S158-R158)-(($AB$1-O158)-(D158-$Z$4)),IF(O158&gt;$AB$1,O158-$AB$1,IF(C158&gt;$Z$4,C158-$Z$4,IF(AND(N158="Sex",G158&lt;&gt;"",H158=""),$Z$3-G158,IF(AND(G158&lt;&gt;"",H158=""),$Z$3-G158,IF(AND(N158="Sex",H158&lt;$Y$3),$Z$3-H158,IF(AND(N158&lt;&gt;"Sex",H158&gt;$AA$8),"",IF(AND(N158="Sex",H158&gt;$Z$8),"",IF(AND(N158&lt;&gt;"Sex",I158&gt;$Z$8),$Z$8-H158,IF(AND(N158&lt;&gt;"Sex",H158&lt;$Y$8),$Z$8-H158,"")))))))))))))))</f>
        <v/>
      </c>
      <c r="Q158" s="33"/>
      <c r="R158" s="33"/>
      <c r="S158" s="33"/>
    </row>
    <row r="159" spans="1:19" x14ac:dyDescent="0.25">
      <c r="A159" s="116" t="s">
        <v>194</v>
      </c>
      <c r="B159" s="32">
        <v>43845</v>
      </c>
      <c r="C159" s="39">
        <f t="shared" si="10"/>
        <v>0.33333333333333331</v>
      </c>
      <c r="D159" s="33">
        <v>0.29166666666666669</v>
      </c>
      <c r="E159" s="33">
        <v>0.5</v>
      </c>
      <c r="F159" s="39">
        <f t="shared" si="11"/>
        <v>0.54166666666666663</v>
      </c>
      <c r="G159" s="33">
        <v>0.54166666666666663</v>
      </c>
      <c r="H159" s="33">
        <v>0.75</v>
      </c>
      <c r="I159" s="39">
        <f>IFERROR(IF(B159=VLOOKUP(B159,Feriados[],2,0),H159,IF(N159="Sáb",H159,IF(AND(B159&lt;$T$1,H159&lt;=$AA$3),$Z$3,IF(AND(N159="Sex",H159&gt;$AA$3),H159,IF(H159&lt;=$AA$3,$Z$3,IF(H159&lt;=$AA$8,$Z$8,H159)))))),IF(N159="Sáb",H159,IF(AND(B159&lt;$T$1,H159&lt;=$AA$3),$Z$3,IF(AND(N159="Sex",H159&gt;$AA$3),H159,IF(H159&lt;=$AA$3,$Z$3,IF(H159&lt;=$AA$8,$Z$8,H159))))))</f>
        <v>0.75</v>
      </c>
      <c r="J159" s="33">
        <f t="shared" si="12"/>
        <v>0.375</v>
      </c>
      <c r="K159" s="33">
        <f>IFERROR(IF(H159="","",IF(B159=VLOOKUP(B159,Feriados[],2,0),(H159-D159)-(G159-E159),IF(D159&lt;=$Y$4,(I159-D159)-(G159-E159),(I159-C159)-(F159-E159)))),IF(AND(D159&lt;=$Y$4,F159-E159=$AB$1),(I159-D159)-(F159-E159),IF(D159&lt;$Y$4,(I159-D159)-(G159-E159),(I159-C159)-(F159-E159))))</f>
        <v>0.41666666666666669</v>
      </c>
      <c r="L159" s="40">
        <f>IF(B159=_xlfn.XLOOKUP(B159,Feriados[FE Oficial],Feriados[FE Talvez],"",0),"",IF(Q159="Compensado","",IF(AND(N159="Sex",D159&lt;$Y$4),($Z$4-D159)+$AB$1-(F159-E159)+(I159-$Z$3),IF(AND(N159="Sex",I159&gt;$Z$3),($AB$1-(F159-E159))+(I159-$Z$3),IF(AND(N159="Sex",E159&lt;&gt;"",D159&lt;$Y$4),($Z$4-D159)+$AB$1-(F159-E159)+(I159-$Z$3),IF(N159="Sáb",(I159-D159)-(G159-E159)-(S159-R159),IF(AND(B159&lt;$T$1,I159&gt;$Z$3),H159-$Z$3,IF(D159&lt;$Y$4,($Z$4-D159)+($AB$1-(F159-E159))+(I159-$Z$8)+(S159-R159),IF(AND(S159&lt;&gt;"",D159&gt;$Z$4),(S159-R159)-($AB$1-(F159-E159)),IF(AND(S159&lt;&gt;"",D159&lt;$Y$4),(S159-R159)-($AB$1-(F159-E159)+($Z$4-D159)),IF(I159&gt;$Z$8,($AB$1-(F159-E159))+(I159-$Z$8),IF(AND(N159="Sex",(F159-E159)&lt;($AB$1-$W$1)),($AB$1-(F159-E159)),IF(AND(O159&gt;($AB$1-$W$1),D159&gt;$Z$4),"",IF(AND(B159&gt;=$T$1,(F159-E159)&gt;($AB$1-$W$1)),"",IF(AND(D159&gt;=$Y$4,I159=$Z$8,S159=""),($AB$1-(F159-E159)),IF(AND(P159&lt;&gt;"",S159&lt;&gt;""),I159-$Z$8,IF(AND(P159&lt;&gt;"",D159&gt;$Y$4),$AB$1-(F159-E159),"")))))))))))))))))</f>
        <v>4.1666666666666664E-2</v>
      </c>
      <c r="M159" s="107" t="str">
        <f>IFERROR(IF(H159="","",IF(B159=VLOOKUP(B159,Feriados[],2,0),(H159-D159)-(G159-E159),"")),"")</f>
        <v/>
      </c>
      <c r="N159" s="38" t="str">
        <f t="shared" si="13"/>
        <v>Ter</v>
      </c>
      <c r="O159" s="112">
        <f t="shared" si="14"/>
        <v>4.166666666666663E-2</v>
      </c>
      <c r="P159" s="113" t="str">
        <f>IF(B159=_xlfn.XLOOKUP(B159,Feriados[FE Oficial],Feriados[FE Talvez],"",0),"",IF(B159&lt;$T$1,"",IF(Q159="Consulta","",IF(Q159="Compensado","",IF(N159="Sáb","",IF(S159&lt;&gt;"",(S159-R159)-(($AB$1-O159)-(D159-$Z$4)),IF(O159&gt;$AB$1,O159-$AB$1,IF(C159&gt;$Z$4,C159-$Z$4,IF(AND(N159="Sex",G159&lt;&gt;"",H159=""),$Z$3-G159,IF(AND(G159&lt;&gt;"",H159=""),$Z$3-G159,IF(AND(N159="Sex",H159&lt;$Y$3),$Z$3-H159,IF(AND(N159&lt;&gt;"Sex",H159&gt;$AA$8),"",IF(AND(N159="Sex",H159&gt;$Z$8),"",IF(AND(N159&lt;&gt;"Sex",I159&gt;$Z$8),$Z$8-H159,IF(AND(N159&lt;&gt;"Sex",H159&lt;$Y$8),$Z$8-H159,"")))))))))))))))</f>
        <v/>
      </c>
      <c r="Q159" s="33"/>
      <c r="R159" s="33"/>
      <c r="S159" s="33"/>
    </row>
    <row r="160" spans="1:19" x14ac:dyDescent="0.25">
      <c r="A160" s="115" t="s">
        <v>191</v>
      </c>
      <c r="B160" s="32">
        <v>43845</v>
      </c>
      <c r="C160" s="39">
        <f t="shared" si="10"/>
        <v>0.33333333333333331</v>
      </c>
      <c r="D160" s="33">
        <v>0.33333333333333331</v>
      </c>
      <c r="E160" s="33">
        <v>0.5</v>
      </c>
      <c r="F160" s="39">
        <f t="shared" si="11"/>
        <v>0.54166666666666663</v>
      </c>
      <c r="G160" s="33">
        <v>0.54166666666666663</v>
      </c>
      <c r="H160" s="33">
        <v>0.75</v>
      </c>
      <c r="I160" s="39">
        <f>IFERROR(IF(B160=VLOOKUP(B160,Feriados[],2,0),H160,IF(N160="Sáb",H160,IF(AND(B160&lt;$T$1,H160&lt;=$AA$3),$Z$3,IF(AND(N160="Sex",H160&gt;$AA$3),H160,IF(H160&lt;=$AA$3,$Z$3,IF(H160&lt;=$AA$8,$Z$8,H160)))))),IF(N160="Sáb",H160,IF(AND(B160&lt;$T$1,H160&lt;=$AA$3),$Z$3,IF(AND(N160="Sex",H160&gt;$AA$3),H160,IF(H160&lt;=$AA$3,$Z$3,IF(H160&lt;=$AA$8,$Z$8,H160))))))</f>
        <v>0.75</v>
      </c>
      <c r="J160" s="33">
        <f t="shared" si="12"/>
        <v>0.37500000000000006</v>
      </c>
      <c r="K160" s="33">
        <f>IFERROR(IF(H160="","",IF(B160=VLOOKUP(B160,Feriados[],2,0),(H160-D160)-(G160-E160),IF(D160&lt;=$Y$4,(I160-D160)-(G160-E160),(I160-C160)-(F160-E160)))),IF(AND(D160&lt;=$Y$4,F160-E160=$AB$1),(I160-D160)-(F160-E160),IF(D160&lt;$Y$4,(I160-D160)-(G160-E160),(I160-C160)-(F160-E160))))</f>
        <v>0.37500000000000006</v>
      </c>
      <c r="L160" s="40" t="str">
        <f>IF(B160=_xlfn.XLOOKUP(B160,Feriados[FE Oficial],Feriados[FE Talvez],"",0),"",IF(Q160="Compensado","",IF(AND(N160="Sex",D160&lt;$Y$4),($Z$4-D160)+$AB$1-(F160-E160)+(I160-$Z$3),IF(AND(N160="Sex",I160&gt;$Z$3),($AB$1-(F160-E160))+(I160-$Z$3),IF(AND(N160="Sex",E160&lt;&gt;"",D160&lt;$Y$4),($Z$4-D160)+$AB$1-(F160-E160)+(I160-$Z$3),IF(N160="Sáb",(I160-D160)-(G160-E160)-(S160-R160),IF(AND(B160&lt;$T$1,I160&gt;$Z$3),H160-$Z$3,IF(D160&lt;$Y$4,($Z$4-D160)+($AB$1-(F160-E160))+(I160-$Z$8)+(S160-R160),IF(AND(S160&lt;&gt;"",D160&gt;$Z$4),(S160-R160)-($AB$1-(F160-E160)),IF(AND(S160&lt;&gt;"",D160&lt;$Y$4),(S160-R160)-($AB$1-(F160-E160)+($Z$4-D160)),IF(I160&gt;$Z$8,($AB$1-(F160-E160))+(I160-$Z$8),IF(AND(N160="Sex",(F160-E160)&lt;($AB$1-$W$1)),($AB$1-(F160-E160)),IF(AND(O160&gt;($AB$1-$W$1),D160&gt;$Z$4),"",IF(AND(B160&gt;=$T$1,(F160-E160)&gt;($AB$1-$W$1)),"",IF(AND(D160&gt;=$Y$4,I160=$Z$8,S160=""),($AB$1-(F160-E160)),IF(AND(P160&lt;&gt;"",S160&lt;&gt;""),I160-$Z$8,IF(AND(P160&lt;&gt;"",D160&gt;$Y$4),$AB$1-(F160-E160),"")))))))))))))))))</f>
        <v/>
      </c>
      <c r="M160" s="107" t="str">
        <f>IFERROR(IF(H160="","",IF(B160=VLOOKUP(B160,Feriados[],2,0),(H160-D160)-(G160-E160),"")),"")</f>
        <v/>
      </c>
      <c r="N160" s="38" t="str">
        <f t="shared" si="13"/>
        <v>Ter</v>
      </c>
      <c r="O160" s="112">
        <f t="shared" si="14"/>
        <v>4.166666666666663E-2</v>
      </c>
      <c r="P160" s="113" t="str">
        <f>IF(B160=_xlfn.XLOOKUP(B160,Feriados[FE Oficial],Feriados[FE Talvez],"",0),"",IF(B160&lt;$T$1,"",IF(Q160="Consulta","",IF(Q160="Compensado","",IF(N160="Sáb","",IF(S160&lt;&gt;"",(S160-R160)-(($AB$1-O160)-(D160-$Z$4)),IF(O160&gt;$AB$1,O160-$AB$1,IF(C160&gt;$Z$4,C160-$Z$4,IF(AND(N160="Sex",G160&lt;&gt;"",H160=""),$Z$3-G160,IF(AND(G160&lt;&gt;"",H160=""),$Z$3-G160,IF(AND(N160="Sex",H160&lt;$Y$3),$Z$3-H160,IF(AND(N160&lt;&gt;"Sex",H160&gt;$AA$8),"",IF(AND(N160="Sex",H160&gt;$Z$8),"",IF(AND(N160&lt;&gt;"Sex",I160&gt;$Z$8),$Z$8-H160,IF(AND(N160&lt;&gt;"Sex",H160&lt;$Y$8),$Z$8-H160,"")))))))))))))))</f>
        <v/>
      </c>
      <c r="Q160" s="33"/>
      <c r="R160" s="33"/>
      <c r="S160" s="33"/>
    </row>
    <row r="161" spans="1:19" x14ac:dyDescent="0.25">
      <c r="A161" s="115" t="s">
        <v>197</v>
      </c>
      <c r="B161" s="32">
        <v>43845</v>
      </c>
      <c r="C161" s="39">
        <f t="shared" si="10"/>
        <v>0.33333333333333331</v>
      </c>
      <c r="D161" s="33">
        <v>0.33333333333333331</v>
      </c>
      <c r="E161" s="33">
        <v>0.4861111111111111</v>
      </c>
      <c r="F161" s="39">
        <f t="shared" si="11"/>
        <v>0.52083333333333337</v>
      </c>
      <c r="G161" s="33">
        <v>0.52083333333333337</v>
      </c>
      <c r="H161" s="33">
        <v>0.75</v>
      </c>
      <c r="I161" s="39">
        <f>IFERROR(IF(B161=VLOOKUP(B161,Feriados[],2,0),H161,IF(N161="Sáb",H161,IF(AND(B161&lt;$T$1,H161&lt;=$AA$3),$Z$3,IF(AND(N161="Sex",H161&gt;$AA$3),H161,IF(H161&lt;=$AA$3,$Z$3,IF(H161&lt;=$AA$8,$Z$8,H161)))))),IF(N161="Sáb",H161,IF(AND(B161&lt;$T$1,H161&lt;=$AA$3),$Z$3,IF(AND(N161="Sex",H161&gt;$AA$3),H161,IF(H161&lt;=$AA$3,$Z$3,IF(H161&lt;=$AA$8,$Z$8,H161))))))</f>
        <v>0.75</v>
      </c>
      <c r="J161" s="33">
        <f t="shared" si="12"/>
        <v>0.375</v>
      </c>
      <c r="K161" s="33">
        <f>IFERROR(IF(H161="","",IF(B161=VLOOKUP(B161,Feriados[],2,0),(H161-D161)-(G161-E161),IF(D161&lt;=$Y$4,(I161-D161)-(G161-E161),(I161-C161)-(F161-E161)))),IF(AND(D161&lt;=$Y$4,F161-E161=$AB$1),(I161-D161)-(F161-E161),IF(D161&lt;$Y$4,(I161-D161)-(G161-E161),(I161-C161)-(F161-E161))))</f>
        <v>0.38194444444444442</v>
      </c>
      <c r="L161" s="40" t="str">
        <f>IF(B161=_xlfn.XLOOKUP(B161,Feriados[FE Oficial],Feriados[FE Talvez],"",0),"",IF(Q161="Compensado","",IF(AND(N161="Sex",D161&lt;$Y$4),($Z$4-D161)+$AB$1-(F161-E161)+(I161-$Z$3),IF(AND(N161="Sex",I161&gt;$Z$3),($AB$1-(F161-E161))+(I161-$Z$3),IF(AND(N161="Sex",E161&lt;&gt;"",D161&lt;$Y$4),($Z$4-D161)+$AB$1-(F161-E161)+(I161-$Z$3),IF(N161="Sáb",(I161-D161)-(G161-E161)-(S161-R161),IF(AND(B161&lt;$T$1,I161&gt;$Z$3),H161-$Z$3,IF(D161&lt;$Y$4,($Z$4-D161)+($AB$1-(F161-E161))+(I161-$Z$8)+(S161-R161),IF(AND(S161&lt;&gt;"",D161&gt;$Z$4),(S161-R161)-($AB$1-(F161-E161)),IF(AND(S161&lt;&gt;"",D161&lt;$Y$4),(S161-R161)-($AB$1-(F161-E161)+($Z$4-D161)),IF(I161&gt;$Z$8,($AB$1-(F161-E161))+(I161-$Z$8),IF(AND(N161="Sex",(F161-E161)&lt;($AB$1-$W$1)),($AB$1-(F161-E161)),IF(AND(O161&gt;($AB$1-$W$1),D161&gt;$Z$4),"",IF(AND(B161&gt;=$T$1,(F161-E161)&gt;($AB$1-$W$1)),"",IF(AND(D161&gt;=$Y$4,I161=$Z$8,S161=""),($AB$1-(F161-E161)),IF(AND(P161&lt;&gt;"",S161&lt;&gt;""),I161-$Z$8,IF(AND(P161&lt;&gt;"",D161&gt;$Y$4),$AB$1-(F161-E161),"")))))))))))))))))</f>
        <v/>
      </c>
      <c r="M161" s="107" t="str">
        <f>IFERROR(IF(H161="","",IF(B161=VLOOKUP(B161,Feriados[],2,0),(H161-D161)-(G161-E161),"")),"")</f>
        <v/>
      </c>
      <c r="N161" s="38" t="str">
        <f t="shared" si="13"/>
        <v>Ter</v>
      </c>
      <c r="O161" s="112">
        <f t="shared" si="14"/>
        <v>3.4722222222222265E-2</v>
      </c>
      <c r="P161" s="113" t="str">
        <f>IF(B161=_xlfn.XLOOKUP(B161,Feriados[FE Oficial],Feriados[FE Talvez],"",0),"",IF(B161&lt;$T$1,"",IF(Q161="Consulta","",IF(Q161="Compensado","",IF(N161="Sáb","",IF(S161&lt;&gt;"",(S161-R161)-(($AB$1-O161)-(D161-$Z$4)),IF(O161&gt;$AB$1,O161-$AB$1,IF(C161&gt;$Z$4,C161-$Z$4,IF(AND(N161="Sex",G161&lt;&gt;"",H161=""),$Z$3-G161,IF(AND(G161&lt;&gt;"",H161=""),$Z$3-G161,IF(AND(N161="Sex",H161&lt;$Y$3),$Z$3-H161,IF(AND(N161&lt;&gt;"Sex",H161&gt;$AA$8),"",IF(AND(N161="Sex",H161&gt;$Z$8),"",IF(AND(N161&lt;&gt;"Sex",I161&gt;$Z$8),$Z$8-H161,IF(AND(N161&lt;&gt;"Sex",H161&lt;$Y$8),$Z$8-H161,"")))))))))))))))</f>
        <v/>
      </c>
      <c r="Q161" s="33"/>
      <c r="R161" s="33"/>
      <c r="S161" s="33"/>
    </row>
    <row r="162" spans="1:19" x14ac:dyDescent="0.25">
      <c r="A162" s="115" t="s">
        <v>190</v>
      </c>
      <c r="B162" s="32">
        <v>43845</v>
      </c>
      <c r="C162" s="39">
        <f t="shared" si="10"/>
        <v>0.33333333333333331</v>
      </c>
      <c r="D162" s="33">
        <v>0.32569444444444445</v>
      </c>
      <c r="E162" s="33">
        <v>0.4861111111111111</v>
      </c>
      <c r="F162" s="39">
        <f t="shared" si="11"/>
        <v>0.52083333333333337</v>
      </c>
      <c r="G162" s="33">
        <v>0.52083333333333337</v>
      </c>
      <c r="H162" s="33">
        <v>0.75</v>
      </c>
      <c r="I162" s="39">
        <f>IFERROR(IF(B162=VLOOKUP(B162,Feriados[],2,0),H162,IF(N162="Sáb",H162,IF(AND(B162&lt;$T$1,H162&lt;=$AA$3),$Z$3,IF(AND(N162="Sex",H162&gt;$AA$3),H162,IF(H162&lt;=$AA$3,$Z$3,IF(H162&lt;=$AA$8,$Z$8,H162)))))),IF(N162="Sáb",H162,IF(AND(B162&lt;$T$1,H162&lt;=$AA$3),$Z$3,IF(AND(N162="Sex",H162&gt;$AA$3),H162,IF(H162&lt;=$AA$3,$Z$3,IF(H162&lt;=$AA$8,$Z$8,H162))))))</f>
        <v>0.75</v>
      </c>
      <c r="J162" s="33">
        <f t="shared" si="12"/>
        <v>0.375</v>
      </c>
      <c r="K162" s="33">
        <f>IFERROR(IF(H162="","",IF(B162=VLOOKUP(B162,Feriados[],2,0),(H162-D162)-(G162-E162),IF(D162&lt;=$Y$4,(I162-D162)-(G162-E162),(I162-C162)-(F162-E162)))),IF(AND(D162&lt;=$Y$4,F162-E162=$AB$1),(I162-D162)-(F162-E162),IF(D162&lt;$Y$4,(I162-D162)-(G162-E162),(I162-C162)-(F162-E162))))</f>
        <v>0.38958333333333328</v>
      </c>
      <c r="L162" s="40">
        <f>IF(B162=_xlfn.XLOOKUP(B162,Feriados[FE Oficial],Feriados[FE Talvez],"",0),"",IF(Q162="Compensado","",IF(AND(N162="Sex",D162&lt;$Y$4),($Z$4-D162)+$AB$1-(F162-E162)+(I162-$Z$3),IF(AND(N162="Sex",I162&gt;$Z$3),($AB$1-(F162-E162))+(I162-$Z$3),IF(AND(N162="Sex",E162&lt;&gt;"",D162&lt;$Y$4),($Z$4-D162)+$AB$1-(F162-E162)+(I162-$Z$3),IF(N162="Sáb",(I162-D162)-(G162-E162)-(S162-R162),IF(AND(B162&lt;$T$1,I162&gt;$Z$3),H162-$Z$3,IF(D162&lt;$Y$4,($Z$4-D162)+($AB$1-(F162-E162))+(I162-$Z$8)+(S162-R162),IF(AND(S162&lt;&gt;"",D162&gt;$Z$4),(S162-R162)-($AB$1-(F162-E162)),IF(AND(S162&lt;&gt;"",D162&lt;$Y$4),(S162-R162)-($AB$1-(F162-E162)+($Z$4-D162)),IF(I162&gt;$Z$8,($AB$1-(F162-E162))+(I162-$Z$8),IF(AND(N162="Sex",(F162-E162)&lt;($AB$1-$W$1)),($AB$1-(F162-E162)),IF(AND(O162&gt;($AB$1-$W$1),D162&gt;$Z$4),"",IF(AND(B162&gt;=$T$1,(F162-E162)&gt;($AB$1-$W$1)),"",IF(AND(D162&gt;=$Y$4,I162=$Z$8,S162=""),($AB$1-(F162-E162)),IF(AND(P162&lt;&gt;"",S162&lt;&gt;""),I162-$Z$8,IF(AND(P162&lt;&gt;"",D162&gt;$Y$4),$AB$1-(F162-E162),"")))))))))))))))))</f>
        <v>1.4583333333333261E-2</v>
      </c>
      <c r="M162" s="107" t="str">
        <f>IFERROR(IF(H162="","",IF(B162=VLOOKUP(B162,Feriados[],2,0),(H162-D162)-(G162-E162),"")),"")</f>
        <v/>
      </c>
      <c r="N162" s="38" t="str">
        <f t="shared" si="13"/>
        <v>Ter</v>
      </c>
      <c r="O162" s="112">
        <f t="shared" si="14"/>
        <v>3.4722222222222265E-2</v>
      </c>
      <c r="P162" s="113" t="str">
        <f>IF(B162=_xlfn.XLOOKUP(B162,Feriados[FE Oficial],Feriados[FE Talvez],"",0),"",IF(B162&lt;$T$1,"",IF(Q162="Consulta","",IF(Q162="Compensado","",IF(N162="Sáb","",IF(S162&lt;&gt;"",(S162-R162)-(($AB$1-O162)-(D162-$Z$4)),IF(O162&gt;$AB$1,O162-$AB$1,IF(C162&gt;$Z$4,C162-$Z$4,IF(AND(N162="Sex",G162&lt;&gt;"",H162=""),$Z$3-G162,IF(AND(G162&lt;&gt;"",H162=""),$Z$3-G162,IF(AND(N162="Sex",H162&lt;$Y$3),$Z$3-H162,IF(AND(N162&lt;&gt;"Sex",H162&gt;$AA$8),"",IF(AND(N162="Sex",H162&gt;$Z$8),"",IF(AND(N162&lt;&gt;"Sex",I162&gt;$Z$8),$Z$8-H162,IF(AND(N162&lt;&gt;"Sex",H162&lt;$Y$8),$Z$8-H162,"")))))))))))))))</f>
        <v/>
      </c>
      <c r="Q162" s="33"/>
      <c r="R162" s="33"/>
      <c r="S162" s="33"/>
    </row>
    <row r="163" spans="1:19" x14ac:dyDescent="0.25">
      <c r="A163" s="115" t="s">
        <v>175</v>
      </c>
      <c r="B163" s="32">
        <v>43845</v>
      </c>
      <c r="C163" s="39">
        <f t="shared" si="10"/>
        <v>0.33333333333333331</v>
      </c>
      <c r="D163" s="33">
        <v>0.32569444444444445</v>
      </c>
      <c r="E163" s="33">
        <v>0.5</v>
      </c>
      <c r="F163" s="39">
        <f t="shared" si="11"/>
        <v>0.54166666666666663</v>
      </c>
      <c r="G163" s="33">
        <v>0.54166666666666663</v>
      </c>
      <c r="H163" s="33">
        <v>0.75</v>
      </c>
      <c r="I163" s="39">
        <f>IFERROR(IF(B163=VLOOKUP(B163,Feriados[],2,0),H163,IF(N163="Sáb",H163,IF(AND(B163&lt;$T$1,H163&lt;=$AA$3),$Z$3,IF(AND(N163="Sex",H163&gt;$AA$3),H163,IF(H163&lt;=$AA$3,$Z$3,IF(H163&lt;=$AA$8,$Z$8,H163)))))),IF(N163="Sáb",H163,IF(AND(B163&lt;$T$1,H163&lt;=$AA$3),$Z$3,IF(AND(N163="Sex",H163&gt;$AA$3),H163,IF(H163&lt;=$AA$3,$Z$3,IF(H163&lt;=$AA$8,$Z$8,H163))))))</f>
        <v>0.75</v>
      </c>
      <c r="J163" s="33">
        <f t="shared" si="12"/>
        <v>0.375</v>
      </c>
      <c r="K163" s="33">
        <f>IFERROR(IF(H163="","",IF(B163=VLOOKUP(B163,Feriados[],2,0),(H163-D163)-(G163-E163),IF(D163&lt;=$Y$4,(I163-D163)-(G163-E163),(I163-C163)-(F163-E163)))),IF(AND(D163&lt;=$Y$4,F163-E163=$AB$1),(I163-D163)-(F163-E163),IF(D163&lt;$Y$4,(I163-D163)-(G163-E163),(I163-C163)-(F163-E163))))</f>
        <v>0.38263888888888892</v>
      </c>
      <c r="L163" s="40">
        <f>IF(B163=_xlfn.XLOOKUP(B163,Feriados[FE Oficial],Feriados[FE Talvez],"",0),"",IF(Q163="Compensado","",IF(AND(N163="Sex",D163&lt;$Y$4),($Z$4-D163)+$AB$1-(F163-E163)+(I163-$Z$3),IF(AND(N163="Sex",I163&gt;$Z$3),($AB$1-(F163-E163))+(I163-$Z$3),IF(AND(N163="Sex",E163&lt;&gt;"",D163&lt;$Y$4),($Z$4-D163)+$AB$1-(F163-E163)+(I163-$Z$3),IF(N163="Sáb",(I163-D163)-(G163-E163)-(S163-R163),IF(AND(B163&lt;$T$1,I163&gt;$Z$3),H163-$Z$3,IF(D163&lt;$Y$4,($Z$4-D163)+($AB$1-(F163-E163))+(I163-$Z$8)+(S163-R163),IF(AND(S163&lt;&gt;"",D163&gt;$Z$4),(S163-R163)-($AB$1-(F163-E163)),IF(AND(S163&lt;&gt;"",D163&lt;$Y$4),(S163-R163)-($AB$1-(F163-E163)+($Z$4-D163)),IF(I163&gt;$Z$8,($AB$1-(F163-E163))+(I163-$Z$8),IF(AND(N163="Sex",(F163-E163)&lt;($AB$1-$W$1)),($AB$1-(F163-E163)),IF(AND(O163&gt;($AB$1-$W$1),D163&gt;$Z$4),"",IF(AND(B163&gt;=$T$1,(F163-E163)&gt;($AB$1-$W$1)),"",IF(AND(D163&gt;=$Y$4,I163=$Z$8,S163=""),($AB$1-(F163-E163)),IF(AND(P163&lt;&gt;"",S163&lt;&gt;""),I163-$Z$8,IF(AND(P163&lt;&gt;"",D163&gt;$Y$4),$AB$1-(F163-E163),"")))))))))))))))))</f>
        <v>7.6388888888888964E-3</v>
      </c>
      <c r="M163" s="107" t="str">
        <f>IFERROR(IF(H163="","",IF(B163=VLOOKUP(B163,Feriados[],2,0),(H163-D163)-(G163-E163),"")),"")</f>
        <v/>
      </c>
      <c r="N163" s="38" t="str">
        <f t="shared" si="13"/>
        <v>Ter</v>
      </c>
      <c r="O163" s="112">
        <f t="shared" si="14"/>
        <v>4.166666666666663E-2</v>
      </c>
      <c r="P163" s="113" t="str">
        <f>IF(B163=_xlfn.XLOOKUP(B163,Feriados[FE Oficial],Feriados[FE Talvez],"",0),"",IF(B163&lt;$T$1,"",IF(Q163="Consulta","",IF(Q163="Compensado","",IF(N163="Sáb","",IF(S163&lt;&gt;"",(S163-R163)-(($AB$1-O163)-(D163-$Z$4)),IF(O163&gt;$AB$1,O163-$AB$1,IF(C163&gt;$Z$4,C163-$Z$4,IF(AND(N163="Sex",G163&lt;&gt;"",H163=""),$Z$3-G163,IF(AND(G163&lt;&gt;"",H163=""),$Z$3-G163,IF(AND(N163="Sex",H163&lt;$Y$3),$Z$3-H163,IF(AND(N163&lt;&gt;"Sex",H163&gt;$AA$8),"",IF(AND(N163="Sex",H163&gt;$Z$8),"",IF(AND(N163&lt;&gt;"Sex",I163&gt;$Z$8),$Z$8-H163,IF(AND(N163&lt;&gt;"Sex",H163&lt;$Y$8),$Z$8-H163,"")))))))))))))))</f>
        <v/>
      </c>
      <c r="Q163" s="33"/>
      <c r="R163" s="33"/>
      <c r="S163" s="33"/>
    </row>
    <row r="164" spans="1:19" x14ac:dyDescent="0.25">
      <c r="A164" s="116" t="s">
        <v>194</v>
      </c>
      <c r="B164" s="32">
        <v>43846</v>
      </c>
      <c r="C164" s="39">
        <f t="shared" si="10"/>
        <v>0.33333333333333331</v>
      </c>
      <c r="D164" s="33">
        <v>0.29166666666666669</v>
      </c>
      <c r="E164" s="33">
        <v>0.5</v>
      </c>
      <c r="F164" s="39">
        <f t="shared" si="11"/>
        <v>0.54166666666666663</v>
      </c>
      <c r="G164" s="33">
        <v>0.54166666666666663</v>
      </c>
      <c r="H164" s="33">
        <v>0.75</v>
      </c>
      <c r="I164" s="39">
        <f>IFERROR(IF(B164=VLOOKUP(B164,Feriados[],2,0),H164,IF(N164="Sáb",H164,IF(AND(B164&lt;$T$1,H164&lt;=$AA$3),$Z$3,IF(AND(N164="Sex",H164&gt;$AA$3),H164,IF(H164&lt;=$AA$3,$Z$3,IF(H164&lt;=$AA$8,$Z$8,H164)))))),IF(N164="Sáb",H164,IF(AND(B164&lt;$T$1,H164&lt;=$AA$3),$Z$3,IF(AND(N164="Sex",H164&gt;$AA$3),H164,IF(H164&lt;=$AA$3,$Z$3,IF(H164&lt;=$AA$8,$Z$8,H164))))))</f>
        <v>0.75</v>
      </c>
      <c r="J164" s="33">
        <f t="shared" si="12"/>
        <v>0.375</v>
      </c>
      <c r="K164" s="33">
        <f>IFERROR(IF(H164="","",IF(B164=VLOOKUP(B164,Feriados[],2,0),(H164-D164)-(G164-E164),IF(D164&lt;=$Y$4,(I164-D164)-(G164-E164),(I164-C164)-(F164-E164)))),IF(AND(D164&lt;=$Y$4,F164-E164=$AB$1),(I164-D164)-(F164-E164),IF(D164&lt;$Y$4,(I164-D164)-(G164-E164),(I164-C164)-(F164-E164))))</f>
        <v>0.41666666666666669</v>
      </c>
      <c r="L164" s="40">
        <f>IF(B164=_xlfn.XLOOKUP(B164,Feriados[FE Oficial],Feriados[FE Talvez],"",0),"",IF(Q164="Compensado","",IF(AND(N164="Sex",D164&lt;$Y$4),($Z$4-D164)+$AB$1-(F164-E164)+(I164-$Z$3),IF(AND(N164="Sex",I164&gt;$Z$3),($AB$1-(F164-E164))+(I164-$Z$3),IF(AND(N164="Sex",E164&lt;&gt;"",D164&lt;$Y$4),($Z$4-D164)+$AB$1-(F164-E164)+(I164-$Z$3),IF(N164="Sáb",(I164-D164)-(G164-E164)-(S164-R164),IF(AND(B164&lt;$T$1,I164&gt;$Z$3),H164-$Z$3,IF(D164&lt;$Y$4,($Z$4-D164)+($AB$1-(F164-E164))+(I164-$Z$8)+(S164-R164),IF(AND(S164&lt;&gt;"",D164&gt;$Z$4),(S164-R164)-($AB$1-(F164-E164)),IF(AND(S164&lt;&gt;"",D164&lt;$Y$4),(S164-R164)-($AB$1-(F164-E164)+($Z$4-D164)),IF(I164&gt;$Z$8,($AB$1-(F164-E164))+(I164-$Z$8),IF(AND(N164="Sex",(F164-E164)&lt;($AB$1-$W$1)),($AB$1-(F164-E164)),IF(AND(O164&gt;($AB$1-$W$1),D164&gt;$Z$4),"",IF(AND(B164&gt;=$T$1,(F164-E164)&gt;($AB$1-$W$1)),"",IF(AND(D164&gt;=$Y$4,I164=$Z$8,S164=""),($AB$1-(F164-E164)),IF(AND(P164&lt;&gt;"",S164&lt;&gt;""),I164-$Z$8,IF(AND(P164&lt;&gt;"",D164&gt;$Y$4),$AB$1-(F164-E164),"")))))))))))))))))</f>
        <v>4.1666666666666664E-2</v>
      </c>
      <c r="M164" s="107" t="str">
        <f>IFERROR(IF(H164="","",IF(B164=VLOOKUP(B164,Feriados[],2,0),(H164-D164)-(G164-E164),"")),"")</f>
        <v/>
      </c>
      <c r="N164" s="38" t="str">
        <f t="shared" si="13"/>
        <v>Qua</v>
      </c>
      <c r="O164" s="112">
        <f t="shared" si="14"/>
        <v>4.166666666666663E-2</v>
      </c>
      <c r="P164" s="113" t="str">
        <f>IF(B164=_xlfn.XLOOKUP(B164,Feriados[FE Oficial],Feriados[FE Talvez],"",0),"",IF(B164&lt;$T$1,"",IF(Q164="Consulta","",IF(Q164="Compensado","",IF(N164="Sáb","",IF(S164&lt;&gt;"",(S164-R164)-(($AB$1-O164)-(D164-$Z$4)),IF(O164&gt;$AB$1,O164-$AB$1,IF(C164&gt;$Z$4,C164-$Z$4,IF(AND(N164="Sex",G164&lt;&gt;"",H164=""),$Z$3-G164,IF(AND(G164&lt;&gt;"",H164=""),$Z$3-G164,IF(AND(N164="Sex",H164&lt;$Y$3),$Z$3-H164,IF(AND(N164&lt;&gt;"Sex",H164&gt;$AA$8),"",IF(AND(N164="Sex",H164&gt;$Z$8),"",IF(AND(N164&lt;&gt;"Sex",I164&gt;$Z$8),$Z$8-H164,IF(AND(N164&lt;&gt;"Sex",H164&lt;$Y$8),$Z$8-H164,"")))))))))))))))</f>
        <v/>
      </c>
      <c r="Q164" s="33"/>
      <c r="R164" s="33"/>
      <c r="S164" s="33"/>
    </row>
    <row r="165" spans="1:19" x14ac:dyDescent="0.25">
      <c r="A165" s="115" t="s">
        <v>191</v>
      </c>
      <c r="B165" s="32">
        <v>43846</v>
      </c>
      <c r="C165" s="39">
        <f t="shared" si="10"/>
        <v>0.33333333333333331</v>
      </c>
      <c r="D165" s="33">
        <v>0.33333333333333331</v>
      </c>
      <c r="E165" s="33">
        <v>0.5</v>
      </c>
      <c r="F165" s="39">
        <f t="shared" si="11"/>
        <v>0.54166666666666663</v>
      </c>
      <c r="G165" s="33">
        <v>0.54166666666666663</v>
      </c>
      <c r="H165" s="33">
        <v>0.75</v>
      </c>
      <c r="I165" s="39">
        <f>IFERROR(IF(B165=VLOOKUP(B165,Feriados[],2,0),H165,IF(N165="Sáb",H165,IF(AND(B165&lt;$T$1,H165&lt;=$AA$3),$Z$3,IF(AND(N165="Sex",H165&gt;$AA$3),H165,IF(H165&lt;=$AA$3,$Z$3,IF(H165&lt;=$AA$8,$Z$8,H165)))))),IF(N165="Sáb",H165,IF(AND(B165&lt;$T$1,H165&lt;=$AA$3),$Z$3,IF(AND(N165="Sex",H165&gt;$AA$3),H165,IF(H165&lt;=$AA$3,$Z$3,IF(H165&lt;=$AA$8,$Z$8,H165))))))</f>
        <v>0.75</v>
      </c>
      <c r="J165" s="33">
        <f t="shared" si="12"/>
        <v>0.37500000000000006</v>
      </c>
      <c r="K165" s="33">
        <f>IFERROR(IF(H165="","",IF(B165=VLOOKUP(B165,Feriados[],2,0),(H165-D165)-(G165-E165),IF(D165&lt;=$Y$4,(I165-D165)-(G165-E165),(I165-C165)-(F165-E165)))),IF(AND(D165&lt;=$Y$4,F165-E165=$AB$1),(I165-D165)-(F165-E165),IF(D165&lt;$Y$4,(I165-D165)-(G165-E165),(I165-C165)-(F165-E165))))</f>
        <v>0.37500000000000006</v>
      </c>
      <c r="L165" s="40" t="str">
        <f>IF(B165=_xlfn.XLOOKUP(B165,Feriados[FE Oficial],Feriados[FE Talvez],"",0),"",IF(Q165="Compensado","",IF(AND(N165="Sex",D165&lt;$Y$4),($Z$4-D165)+$AB$1-(F165-E165)+(I165-$Z$3),IF(AND(N165="Sex",I165&gt;$Z$3),($AB$1-(F165-E165))+(I165-$Z$3),IF(AND(N165="Sex",E165&lt;&gt;"",D165&lt;$Y$4),($Z$4-D165)+$AB$1-(F165-E165)+(I165-$Z$3),IF(N165="Sáb",(I165-D165)-(G165-E165)-(S165-R165),IF(AND(B165&lt;$T$1,I165&gt;$Z$3),H165-$Z$3,IF(D165&lt;$Y$4,($Z$4-D165)+($AB$1-(F165-E165))+(I165-$Z$8)+(S165-R165),IF(AND(S165&lt;&gt;"",D165&gt;$Z$4),(S165-R165)-($AB$1-(F165-E165)),IF(AND(S165&lt;&gt;"",D165&lt;$Y$4),(S165-R165)-($AB$1-(F165-E165)+($Z$4-D165)),IF(I165&gt;$Z$8,($AB$1-(F165-E165))+(I165-$Z$8),IF(AND(N165="Sex",(F165-E165)&lt;($AB$1-$W$1)),($AB$1-(F165-E165)),IF(AND(O165&gt;($AB$1-$W$1),D165&gt;$Z$4),"",IF(AND(B165&gt;=$T$1,(F165-E165)&gt;($AB$1-$W$1)),"",IF(AND(D165&gt;=$Y$4,I165=$Z$8,S165=""),($AB$1-(F165-E165)),IF(AND(P165&lt;&gt;"",S165&lt;&gt;""),I165-$Z$8,IF(AND(P165&lt;&gt;"",D165&gt;$Y$4),$AB$1-(F165-E165),"")))))))))))))))))</f>
        <v/>
      </c>
      <c r="M165" s="107" t="str">
        <f>IFERROR(IF(H165="","",IF(B165=VLOOKUP(B165,Feriados[],2,0),(H165-D165)-(G165-E165),"")),"")</f>
        <v/>
      </c>
      <c r="N165" s="38" t="str">
        <f t="shared" si="13"/>
        <v>Qua</v>
      </c>
      <c r="O165" s="112">
        <f t="shared" si="14"/>
        <v>4.166666666666663E-2</v>
      </c>
      <c r="P165" s="113" t="str">
        <f>IF(B165=_xlfn.XLOOKUP(B165,Feriados[FE Oficial],Feriados[FE Talvez],"",0),"",IF(B165&lt;$T$1,"",IF(Q165="Consulta","",IF(Q165="Compensado","",IF(N165="Sáb","",IF(S165&lt;&gt;"",(S165-R165)-(($AB$1-O165)-(D165-$Z$4)),IF(O165&gt;$AB$1,O165-$AB$1,IF(C165&gt;$Z$4,C165-$Z$4,IF(AND(N165="Sex",G165&lt;&gt;"",H165=""),$Z$3-G165,IF(AND(G165&lt;&gt;"",H165=""),$Z$3-G165,IF(AND(N165="Sex",H165&lt;$Y$3),$Z$3-H165,IF(AND(N165&lt;&gt;"Sex",H165&gt;$AA$8),"",IF(AND(N165="Sex",H165&gt;$Z$8),"",IF(AND(N165&lt;&gt;"Sex",I165&gt;$Z$8),$Z$8-H165,IF(AND(N165&lt;&gt;"Sex",H165&lt;$Y$8),$Z$8-H165,"")))))))))))))))</f>
        <v/>
      </c>
      <c r="Q165" s="33"/>
      <c r="R165" s="33"/>
      <c r="S165" s="33"/>
    </row>
    <row r="166" spans="1:19" x14ac:dyDescent="0.25">
      <c r="A166" s="115" t="s">
        <v>197</v>
      </c>
      <c r="B166" s="32">
        <v>43846</v>
      </c>
      <c r="C166" s="39">
        <f t="shared" si="10"/>
        <v>0.33333333333333331</v>
      </c>
      <c r="D166" s="33">
        <v>0.33333333333333331</v>
      </c>
      <c r="E166" s="33">
        <v>0.4826388888888889</v>
      </c>
      <c r="F166" s="39">
        <f t="shared" si="11"/>
        <v>0.52430555555555558</v>
      </c>
      <c r="G166" s="33">
        <v>0.52222222222222225</v>
      </c>
      <c r="H166" s="33">
        <v>0.75</v>
      </c>
      <c r="I166" s="39">
        <f>IFERROR(IF(B166=VLOOKUP(B166,Feriados[],2,0),H166,IF(N166="Sáb",H166,IF(AND(B166&lt;$T$1,H166&lt;=$AA$3),$Z$3,IF(AND(N166="Sex",H166&gt;$AA$3),H166,IF(H166&lt;=$AA$3,$Z$3,IF(H166&lt;=$AA$8,$Z$8,H166)))))),IF(N166="Sáb",H166,IF(AND(B166&lt;$T$1,H166&lt;=$AA$3),$Z$3,IF(AND(N166="Sex",H166&gt;$AA$3),H166,IF(H166&lt;=$AA$3,$Z$3,IF(H166&lt;=$AA$8,$Z$8,H166))))))</f>
        <v>0.75</v>
      </c>
      <c r="J166" s="33">
        <f t="shared" si="12"/>
        <v>0.375</v>
      </c>
      <c r="K166" s="33">
        <f>IFERROR(IF(H166="","",IF(B166=VLOOKUP(B166,Feriados[],2,0),(H166-D166)-(G166-E166),IF(D166&lt;=$Y$4,(I166-D166)-(G166-E166),(I166-C166)-(F166-E166)))),IF(AND(D166&lt;=$Y$4,F166-E166=$AB$1),(I166-D166)-(F166-E166),IF(D166&lt;$Y$4,(I166-D166)-(G166-E166),(I166-C166)-(F166-E166))))</f>
        <v>0.375</v>
      </c>
      <c r="L166" s="40" t="str">
        <f>IF(B166=_xlfn.XLOOKUP(B166,Feriados[FE Oficial],Feriados[FE Talvez],"",0),"",IF(Q166="Compensado","",IF(AND(N166="Sex",D166&lt;$Y$4),($Z$4-D166)+$AB$1-(F166-E166)+(I166-$Z$3),IF(AND(N166="Sex",I166&gt;$Z$3),($AB$1-(F166-E166))+(I166-$Z$3),IF(AND(N166="Sex",E166&lt;&gt;"",D166&lt;$Y$4),($Z$4-D166)+$AB$1-(F166-E166)+(I166-$Z$3),IF(N166="Sáb",(I166-D166)-(G166-E166)-(S166-R166),IF(AND(B166&lt;$T$1,I166&gt;$Z$3),H166-$Z$3,IF(D166&lt;$Y$4,($Z$4-D166)+($AB$1-(F166-E166))+(I166-$Z$8)+(S166-R166),IF(AND(S166&lt;&gt;"",D166&gt;$Z$4),(S166-R166)-($AB$1-(F166-E166)),IF(AND(S166&lt;&gt;"",D166&lt;$Y$4),(S166-R166)-($AB$1-(F166-E166)+($Z$4-D166)),IF(I166&gt;$Z$8,($AB$1-(F166-E166))+(I166-$Z$8),IF(AND(N166="Sex",(F166-E166)&lt;($AB$1-$W$1)),($AB$1-(F166-E166)),IF(AND(O166&gt;($AB$1-$W$1),D166&gt;$Z$4),"",IF(AND(B166&gt;=$T$1,(F166-E166)&gt;($AB$1-$W$1)),"",IF(AND(D166&gt;=$Y$4,I166=$Z$8,S166=""),($AB$1-(F166-E166)),IF(AND(P166&lt;&gt;"",S166&lt;&gt;""),I166-$Z$8,IF(AND(P166&lt;&gt;"",D166&gt;$Y$4),$AB$1-(F166-E166),"")))))))))))))))))</f>
        <v/>
      </c>
      <c r="M166" s="107" t="str">
        <f>IFERROR(IF(H166="","",IF(B166=VLOOKUP(B166,Feriados[],2,0),(H166-D166)-(G166-E166),"")),"")</f>
        <v/>
      </c>
      <c r="N166" s="38" t="str">
        <f t="shared" si="13"/>
        <v>Qua</v>
      </c>
      <c r="O166" s="112">
        <f t="shared" si="14"/>
        <v>3.9583333333333359E-2</v>
      </c>
      <c r="P166" s="113" t="str">
        <f>IF(B166=_xlfn.XLOOKUP(B166,Feriados[FE Oficial],Feriados[FE Talvez],"",0),"",IF(B166&lt;$T$1,"",IF(Q166="Consulta","",IF(Q166="Compensado","",IF(N166="Sáb","",IF(S166&lt;&gt;"",(S166-R166)-(($AB$1-O166)-(D166-$Z$4)),IF(O166&gt;$AB$1,O166-$AB$1,IF(C166&gt;$Z$4,C166-$Z$4,IF(AND(N166="Sex",G166&lt;&gt;"",H166=""),$Z$3-G166,IF(AND(G166&lt;&gt;"",H166=""),$Z$3-G166,IF(AND(N166="Sex",H166&lt;$Y$3),$Z$3-H166,IF(AND(N166&lt;&gt;"Sex",H166&gt;$AA$8),"",IF(AND(N166="Sex",H166&gt;$Z$8),"",IF(AND(N166&lt;&gt;"Sex",I166&gt;$Z$8),$Z$8-H166,IF(AND(N166&lt;&gt;"Sex",H166&lt;$Y$8),$Z$8-H166,"")))))))))))))))</f>
        <v/>
      </c>
      <c r="Q166" s="33"/>
      <c r="R166" s="33"/>
      <c r="S166" s="33"/>
    </row>
    <row r="167" spans="1:19" x14ac:dyDescent="0.25">
      <c r="A167" s="115" t="s">
        <v>190</v>
      </c>
      <c r="B167" s="32">
        <v>43846</v>
      </c>
      <c r="C167" s="39">
        <f t="shared" si="10"/>
        <v>0.33333333333333331</v>
      </c>
      <c r="D167" s="33">
        <v>0.32777777777777778</v>
      </c>
      <c r="E167" s="33">
        <v>0.4826388888888889</v>
      </c>
      <c r="F167" s="39">
        <f t="shared" si="11"/>
        <v>0.52430555555555558</v>
      </c>
      <c r="G167" s="33">
        <v>0.52152777777777781</v>
      </c>
      <c r="H167" s="33">
        <v>0.75</v>
      </c>
      <c r="I167" s="39">
        <f>IFERROR(IF(B167=VLOOKUP(B167,Feriados[],2,0),H167,IF(N167="Sáb",H167,IF(AND(B167&lt;$T$1,H167&lt;=$AA$3),$Z$3,IF(AND(N167="Sex",H167&gt;$AA$3),H167,IF(H167&lt;=$AA$3,$Z$3,IF(H167&lt;=$AA$8,$Z$8,H167)))))),IF(N167="Sáb",H167,IF(AND(B167&lt;$T$1,H167&lt;=$AA$3),$Z$3,IF(AND(N167="Sex",H167&gt;$AA$3),H167,IF(H167&lt;=$AA$3,$Z$3,IF(H167&lt;=$AA$8,$Z$8,H167))))))</f>
        <v>0.75</v>
      </c>
      <c r="J167" s="33">
        <f t="shared" si="12"/>
        <v>0.375</v>
      </c>
      <c r="K167" s="33">
        <f>IFERROR(IF(H167="","",IF(B167=VLOOKUP(B167,Feriados[],2,0),(H167-D167)-(G167-E167),IF(D167&lt;=$Y$4,(I167-D167)-(G167-E167),(I167-C167)-(F167-E167)))),IF(AND(D167&lt;=$Y$4,F167-E167=$AB$1),(I167-D167)-(F167-E167),IF(D167&lt;$Y$4,(I167-D167)-(G167-E167),(I167-C167)-(F167-E167))))</f>
        <v>0.375</v>
      </c>
      <c r="L167" s="40" t="str">
        <f>IF(B167=_xlfn.XLOOKUP(B167,Feriados[FE Oficial],Feriados[FE Talvez],"",0),"",IF(Q167="Compensado","",IF(AND(N167="Sex",D167&lt;$Y$4),($Z$4-D167)+$AB$1-(F167-E167)+(I167-$Z$3),IF(AND(N167="Sex",I167&gt;$Z$3),($AB$1-(F167-E167))+(I167-$Z$3),IF(AND(N167="Sex",E167&lt;&gt;"",D167&lt;$Y$4),($Z$4-D167)+$AB$1-(F167-E167)+(I167-$Z$3),IF(N167="Sáb",(I167-D167)-(G167-E167)-(S167-R167),IF(AND(B167&lt;$T$1,I167&gt;$Z$3),H167-$Z$3,IF(D167&lt;$Y$4,($Z$4-D167)+($AB$1-(F167-E167))+(I167-$Z$8)+(S167-R167),IF(AND(S167&lt;&gt;"",D167&gt;$Z$4),(S167-R167)-($AB$1-(F167-E167)),IF(AND(S167&lt;&gt;"",D167&lt;$Y$4),(S167-R167)-($AB$1-(F167-E167)+($Z$4-D167)),IF(I167&gt;$Z$8,($AB$1-(F167-E167))+(I167-$Z$8),IF(AND(N167="Sex",(F167-E167)&lt;($AB$1-$W$1)),($AB$1-(F167-E167)),IF(AND(O167&gt;($AB$1-$W$1),D167&gt;$Z$4),"",IF(AND(B167&gt;=$T$1,(F167-E167)&gt;($AB$1-$W$1)),"",IF(AND(D167&gt;=$Y$4,I167=$Z$8,S167=""),($AB$1-(F167-E167)),IF(AND(P167&lt;&gt;"",S167&lt;&gt;""),I167-$Z$8,IF(AND(P167&lt;&gt;"",D167&gt;$Y$4),$AB$1-(F167-E167),"")))))))))))))))))</f>
        <v/>
      </c>
      <c r="M167" s="107" t="str">
        <f>IFERROR(IF(H167="","",IF(B167=VLOOKUP(B167,Feriados[],2,0),(H167-D167)-(G167-E167),"")),"")</f>
        <v/>
      </c>
      <c r="N167" s="38" t="str">
        <f t="shared" si="13"/>
        <v>Qua</v>
      </c>
      <c r="O167" s="112">
        <f t="shared" si="14"/>
        <v>3.8888888888888917E-2</v>
      </c>
      <c r="P167" s="113" t="str">
        <f>IF(B167=_xlfn.XLOOKUP(B167,Feriados[FE Oficial],Feriados[FE Talvez],"",0),"",IF(B167&lt;$T$1,"",IF(Q167="Consulta","",IF(Q167="Compensado","",IF(N167="Sáb","",IF(S167&lt;&gt;"",(S167-R167)-(($AB$1-O167)-(D167-$Z$4)),IF(O167&gt;$AB$1,O167-$AB$1,IF(C167&gt;$Z$4,C167-$Z$4,IF(AND(N167="Sex",G167&lt;&gt;"",H167=""),$Z$3-G167,IF(AND(G167&lt;&gt;"",H167=""),$Z$3-G167,IF(AND(N167="Sex",H167&lt;$Y$3),$Z$3-H167,IF(AND(N167&lt;&gt;"Sex",H167&gt;$AA$8),"",IF(AND(N167="Sex",H167&gt;$Z$8),"",IF(AND(N167&lt;&gt;"Sex",I167&gt;$Z$8),$Z$8-H167,IF(AND(N167&lt;&gt;"Sex",H167&lt;$Y$8),$Z$8-H167,"")))))))))))))))</f>
        <v/>
      </c>
      <c r="Q167" s="33"/>
      <c r="R167" s="33"/>
      <c r="S167" s="33"/>
    </row>
    <row r="168" spans="1:19" x14ac:dyDescent="0.25">
      <c r="A168" s="115" t="s">
        <v>175</v>
      </c>
      <c r="B168" s="32">
        <v>43846</v>
      </c>
      <c r="C168" s="39">
        <f t="shared" si="10"/>
        <v>0.33333333333333331</v>
      </c>
      <c r="D168" s="33">
        <v>0.32777777777777778</v>
      </c>
      <c r="E168" s="33">
        <v>0.5</v>
      </c>
      <c r="F168" s="39">
        <f t="shared" si="11"/>
        <v>0.54166666666666663</v>
      </c>
      <c r="G168" s="33">
        <v>0.54166666666666663</v>
      </c>
      <c r="H168" s="33">
        <v>0.75</v>
      </c>
      <c r="I168" s="39">
        <f>IFERROR(IF(B168=VLOOKUP(B168,Feriados[],2,0),H168,IF(N168="Sáb",H168,IF(AND(B168&lt;$T$1,H168&lt;=$AA$3),$Z$3,IF(AND(N168="Sex",H168&gt;$AA$3),H168,IF(H168&lt;=$AA$3,$Z$3,IF(H168&lt;=$AA$8,$Z$8,H168)))))),IF(N168="Sáb",H168,IF(AND(B168&lt;$T$1,H168&lt;=$AA$3),$Z$3,IF(AND(N168="Sex",H168&gt;$AA$3),H168,IF(H168&lt;=$AA$3,$Z$3,IF(H168&lt;=$AA$8,$Z$8,H168))))))</f>
        <v>0.75</v>
      </c>
      <c r="J168" s="33">
        <f t="shared" si="12"/>
        <v>0.375</v>
      </c>
      <c r="K168" s="33">
        <f>IFERROR(IF(H168="","",IF(B168=VLOOKUP(B168,Feriados[],2,0),(H168-D168)-(G168-E168),IF(D168&lt;=$Y$4,(I168-D168)-(G168-E168),(I168-C168)-(F168-E168)))),IF(AND(D168&lt;=$Y$4,F168-E168=$AB$1),(I168-D168)-(F168-E168),IF(D168&lt;$Y$4,(I168-D168)-(G168-E168),(I168-C168)-(F168-E168))))</f>
        <v>0.37500000000000006</v>
      </c>
      <c r="L168" s="40" t="str">
        <f>IF(B168=_xlfn.XLOOKUP(B168,Feriados[FE Oficial],Feriados[FE Talvez],"",0),"",IF(Q168="Compensado","",IF(AND(N168="Sex",D168&lt;$Y$4),($Z$4-D168)+$AB$1-(F168-E168)+(I168-$Z$3),IF(AND(N168="Sex",I168&gt;$Z$3),($AB$1-(F168-E168))+(I168-$Z$3),IF(AND(N168="Sex",E168&lt;&gt;"",D168&lt;$Y$4),($Z$4-D168)+$AB$1-(F168-E168)+(I168-$Z$3),IF(N168="Sáb",(I168-D168)-(G168-E168)-(S168-R168),IF(AND(B168&lt;$T$1,I168&gt;$Z$3),H168-$Z$3,IF(D168&lt;$Y$4,($Z$4-D168)+($AB$1-(F168-E168))+(I168-$Z$8)+(S168-R168),IF(AND(S168&lt;&gt;"",D168&gt;$Z$4),(S168-R168)-($AB$1-(F168-E168)),IF(AND(S168&lt;&gt;"",D168&lt;$Y$4),(S168-R168)-($AB$1-(F168-E168)+($Z$4-D168)),IF(I168&gt;$Z$8,($AB$1-(F168-E168))+(I168-$Z$8),IF(AND(N168="Sex",(F168-E168)&lt;($AB$1-$W$1)),($AB$1-(F168-E168)),IF(AND(O168&gt;($AB$1-$W$1),D168&gt;$Z$4),"",IF(AND(B168&gt;=$T$1,(F168-E168)&gt;($AB$1-$W$1)),"",IF(AND(D168&gt;=$Y$4,I168=$Z$8,S168=""),($AB$1-(F168-E168)),IF(AND(P168&lt;&gt;"",S168&lt;&gt;""),I168-$Z$8,IF(AND(P168&lt;&gt;"",D168&gt;$Y$4),$AB$1-(F168-E168),"")))))))))))))))))</f>
        <v/>
      </c>
      <c r="M168" s="107" t="str">
        <f>IFERROR(IF(H168="","",IF(B168=VLOOKUP(B168,Feriados[],2,0),(H168-D168)-(G168-E168),"")),"")</f>
        <v/>
      </c>
      <c r="N168" s="38" t="str">
        <f t="shared" si="13"/>
        <v>Qua</v>
      </c>
      <c r="O168" s="112">
        <f t="shared" si="14"/>
        <v>4.166666666666663E-2</v>
      </c>
      <c r="P168" s="113" t="str">
        <f>IF(B168=_xlfn.XLOOKUP(B168,Feriados[FE Oficial],Feriados[FE Talvez],"",0),"",IF(B168&lt;$T$1,"",IF(Q168="Consulta","",IF(Q168="Compensado","",IF(N168="Sáb","",IF(S168&lt;&gt;"",(S168-R168)-(($AB$1-O168)-(D168-$Z$4)),IF(O168&gt;$AB$1,O168-$AB$1,IF(C168&gt;$Z$4,C168-$Z$4,IF(AND(N168="Sex",G168&lt;&gt;"",H168=""),$Z$3-G168,IF(AND(G168&lt;&gt;"",H168=""),$Z$3-G168,IF(AND(N168="Sex",H168&lt;$Y$3),$Z$3-H168,IF(AND(N168&lt;&gt;"Sex",H168&gt;$AA$8),"",IF(AND(N168="Sex",H168&gt;$Z$8),"",IF(AND(N168&lt;&gt;"Sex",I168&gt;$Z$8),$Z$8-H168,IF(AND(N168&lt;&gt;"Sex",H168&lt;$Y$8),$Z$8-H168,"")))))))))))))))</f>
        <v/>
      </c>
      <c r="Q168" s="33"/>
      <c r="R168" s="33"/>
      <c r="S168" s="33"/>
    </row>
    <row r="169" spans="1:19" x14ac:dyDescent="0.25">
      <c r="A169" s="116" t="s">
        <v>194</v>
      </c>
      <c r="B169" s="32">
        <v>43847</v>
      </c>
      <c r="C169" s="39">
        <f t="shared" si="10"/>
        <v>0.33333333333333331</v>
      </c>
      <c r="D169" s="33">
        <v>0.29166666666666669</v>
      </c>
      <c r="E169" s="33">
        <v>0.5</v>
      </c>
      <c r="F169" s="39">
        <f t="shared" si="11"/>
        <v>0.54166666666666663</v>
      </c>
      <c r="G169" s="33">
        <v>0.54166666666666663</v>
      </c>
      <c r="H169" s="33">
        <v>0.75</v>
      </c>
      <c r="I169" s="39">
        <f>IFERROR(IF(B169=VLOOKUP(B169,Feriados[],2,0),H169,IF(N169="Sáb",H169,IF(AND(B169&lt;$T$1,H169&lt;=$AA$3),$Z$3,IF(AND(N169="Sex",H169&gt;$AA$3),H169,IF(H169&lt;=$AA$3,$Z$3,IF(H169&lt;=$AA$8,$Z$8,H169)))))),IF(N169="Sáb",H169,IF(AND(B169&lt;$T$1,H169&lt;=$AA$3),$Z$3,IF(AND(N169="Sex",H169&gt;$AA$3),H169,IF(H169&lt;=$AA$3,$Z$3,IF(H169&lt;=$AA$8,$Z$8,H169))))))</f>
        <v>0.75</v>
      </c>
      <c r="J169" s="33">
        <f t="shared" si="12"/>
        <v>0.375</v>
      </c>
      <c r="K169" s="33">
        <f>IFERROR(IF(H169="","",IF(B169=VLOOKUP(B169,Feriados[],2,0),(H169-D169)-(G169-E169),IF(D169&lt;=$Y$4,(I169-D169)-(G169-E169),(I169-C169)-(F169-E169)))),IF(AND(D169&lt;=$Y$4,F169-E169=$AB$1),(I169-D169)-(F169-E169),IF(D169&lt;$Y$4,(I169-D169)-(G169-E169),(I169-C169)-(F169-E169))))</f>
        <v>0.41666666666666669</v>
      </c>
      <c r="L169" s="40">
        <f>IF(B169=_xlfn.XLOOKUP(B169,Feriados[FE Oficial],Feriados[FE Talvez],"",0),"",IF(Q169="Compensado","",IF(AND(N169="Sex",D169&lt;$Y$4),($Z$4-D169)+$AB$1-(F169-E169)+(I169-$Z$3),IF(AND(N169="Sex",I169&gt;$Z$3),($AB$1-(F169-E169))+(I169-$Z$3),IF(AND(N169="Sex",E169&lt;&gt;"",D169&lt;$Y$4),($Z$4-D169)+$AB$1-(F169-E169)+(I169-$Z$3),IF(N169="Sáb",(I169-D169)-(G169-E169)-(S169-R169),IF(AND(B169&lt;$T$1,I169&gt;$Z$3),H169-$Z$3,IF(D169&lt;$Y$4,($Z$4-D169)+($AB$1-(F169-E169))+(I169-$Z$8)+(S169-R169),IF(AND(S169&lt;&gt;"",D169&gt;$Z$4),(S169-R169)-($AB$1-(F169-E169)),IF(AND(S169&lt;&gt;"",D169&lt;$Y$4),(S169-R169)-($AB$1-(F169-E169)+($Z$4-D169)),IF(I169&gt;$Z$8,($AB$1-(F169-E169))+(I169-$Z$8),IF(AND(N169="Sex",(F169-E169)&lt;($AB$1-$W$1)),($AB$1-(F169-E169)),IF(AND(O169&gt;($AB$1-$W$1),D169&gt;$Z$4),"",IF(AND(B169&gt;=$T$1,(F169-E169)&gt;($AB$1-$W$1)),"",IF(AND(D169&gt;=$Y$4,I169=$Z$8,S169=""),($AB$1-(F169-E169)),IF(AND(P169&lt;&gt;"",S169&lt;&gt;""),I169-$Z$8,IF(AND(P169&lt;&gt;"",D169&gt;$Y$4),$AB$1-(F169-E169),"")))))))))))))))))</f>
        <v>4.1666666666666664E-2</v>
      </c>
      <c r="M169" s="107" t="str">
        <f>IFERROR(IF(H169="","",IF(B169=VLOOKUP(B169,Feriados[],2,0),(H169-D169)-(G169-E169),"")),"")</f>
        <v/>
      </c>
      <c r="N169" s="38" t="str">
        <f t="shared" si="13"/>
        <v>Qui</v>
      </c>
      <c r="O169" s="112">
        <f t="shared" si="14"/>
        <v>4.166666666666663E-2</v>
      </c>
      <c r="P169" s="113" t="str">
        <f>IF(B169=_xlfn.XLOOKUP(B169,Feriados[FE Oficial],Feriados[FE Talvez],"",0),"",IF(B169&lt;$T$1,"",IF(Q169="Consulta","",IF(Q169="Compensado","",IF(N169="Sáb","",IF(S169&lt;&gt;"",(S169-R169)-(($AB$1-O169)-(D169-$Z$4)),IF(O169&gt;$AB$1,O169-$AB$1,IF(C169&gt;$Z$4,C169-$Z$4,IF(AND(N169="Sex",G169&lt;&gt;"",H169=""),$Z$3-G169,IF(AND(G169&lt;&gt;"",H169=""),$Z$3-G169,IF(AND(N169="Sex",H169&lt;$Y$3),$Z$3-H169,IF(AND(N169&lt;&gt;"Sex",H169&gt;$AA$8),"",IF(AND(N169="Sex",H169&gt;$Z$8),"",IF(AND(N169&lt;&gt;"Sex",I169&gt;$Z$8),$Z$8-H169,IF(AND(N169&lt;&gt;"Sex",H169&lt;$Y$8),$Z$8-H169,"")))))))))))))))</f>
        <v/>
      </c>
      <c r="Q169" s="33"/>
      <c r="R169" s="33"/>
      <c r="S169" s="33"/>
    </row>
    <row r="170" spans="1:19" x14ac:dyDescent="0.25">
      <c r="A170" s="115" t="s">
        <v>191</v>
      </c>
      <c r="B170" s="32">
        <v>43847</v>
      </c>
      <c r="C170" s="39">
        <f t="shared" si="10"/>
        <v>0.33333333333333331</v>
      </c>
      <c r="D170" s="33">
        <v>0.33333333333333331</v>
      </c>
      <c r="E170" s="33">
        <v>0.5</v>
      </c>
      <c r="F170" s="39">
        <f t="shared" si="11"/>
        <v>0.54166666666666663</v>
      </c>
      <c r="G170" s="33">
        <v>0.54166666666666663</v>
      </c>
      <c r="H170" s="33">
        <v>0.75</v>
      </c>
      <c r="I170" s="39">
        <f>IFERROR(IF(B170=VLOOKUP(B170,Feriados[],2,0),H170,IF(N170="Sáb",H170,IF(AND(B170&lt;$T$1,H170&lt;=$AA$3),$Z$3,IF(AND(N170="Sex",H170&gt;$AA$3),H170,IF(H170&lt;=$AA$3,$Z$3,IF(H170&lt;=$AA$8,$Z$8,H170)))))),IF(N170="Sáb",H170,IF(AND(B170&lt;$T$1,H170&lt;=$AA$3),$Z$3,IF(AND(N170="Sex",H170&gt;$AA$3),H170,IF(H170&lt;=$AA$3,$Z$3,IF(H170&lt;=$AA$8,$Z$8,H170))))))</f>
        <v>0.75</v>
      </c>
      <c r="J170" s="33">
        <f t="shared" si="12"/>
        <v>0.37500000000000006</v>
      </c>
      <c r="K170" s="33">
        <f>IFERROR(IF(H170="","",IF(B170=VLOOKUP(B170,Feriados[],2,0),(H170-D170)-(G170-E170),IF(D170&lt;=$Y$4,(I170-D170)-(G170-E170),(I170-C170)-(F170-E170)))),IF(AND(D170&lt;=$Y$4,F170-E170=$AB$1),(I170-D170)-(F170-E170),IF(D170&lt;$Y$4,(I170-D170)-(G170-E170),(I170-C170)-(F170-E170))))</f>
        <v>0.37500000000000006</v>
      </c>
      <c r="L170" s="40" t="str">
        <f>IF(B170=_xlfn.XLOOKUP(B170,Feriados[FE Oficial],Feriados[FE Talvez],"",0),"",IF(Q170="Compensado","",IF(AND(N170="Sex",D170&lt;$Y$4),($Z$4-D170)+$AB$1-(F170-E170)+(I170-$Z$3),IF(AND(N170="Sex",I170&gt;$Z$3),($AB$1-(F170-E170))+(I170-$Z$3),IF(AND(N170="Sex",E170&lt;&gt;"",D170&lt;$Y$4),($Z$4-D170)+$AB$1-(F170-E170)+(I170-$Z$3),IF(N170="Sáb",(I170-D170)-(G170-E170)-(S170-R170),IF(AND(B170&lt;$T$1,I170&gt;$Z$3),H170-$Z$3,IF(D170&lt;$Y$4,($Z$4-D170)+($AB$1-(F170-E170))+(I170-$Z$8)+(S170-R170),IF(AND(S170&lt;&gt;"",D170&gt;$Z$4),(S170-R170)-($AB$1-(F170-E170)),IF(AND(S170&lt;&gt;"",D170&lt;$Y$4),(S170-R170)-($AB$1-(F170-E170)+($Z$4-D170)),IF(I170&gt;$Z$8,($AB$1-(F170-E170))+(I170-$Z$8),IF(AND(N170="Sex",(F170-E170)&lt;($AB$1-$W$1)),($AB$1-(F170-E170)),IF(AND(O170&gt;($AB$1-$W$1),D170&gt;$Z$4),"",IF(AND(B170&gt;=$T$1,(F170-E170)&gt;($AB$1-$W$1)),"",IF(AND(D170&gt;=$Y$4,I170=$Z$8,S170=""),($AB$1-(F170-E170)),IF(AND(P170&lt;&gt;"",S170&lt;&gt;""),I170-$Z$8,IF(AND(P170&lt;&gt;"",D170&gt;$Y$4),$AB$1-(F170-E170),"")))))))))))))))))</f>
        <v/>
      </c>
      <c r="M170" s="107" t="str">
        <f>IFERROR(IF(H170="","",IF(B170=VLOOKUP(B170,Feriados[],2,0),(H170-D170)-(G170-E170),"")),"")</f>
        <v/>
      </c>
      <c r="N170" s="38" t="str">
        <f t="shared" si="13"/>
        <v>Qui</v>
      </c>
      <c r="O170" s="112">
        <f t="shared" si="14"/>
        <v>4.166666666666663E-2</v>
      </c>
      <c r="P170" s="113" t="str">
        <f>IF(B170=_xlfn.XLOOKUP(B170,Feriados[FE Oficial],Feriados[FE Talvez],"",0),"",IF(B170&lt;$T$1,"",IF(Q170="Consulta","",IF(Q170="Compensado","",IF(N170="Sáb","",IF(S170&lt;&gt;"",(S170-R170)-(($AB$1-O170)-(D170-$Z$4)),IF(O170&gt;$AB$1,O170-$AB$1,IF(C170&gt;$Z$4,C170-$Z$4,IF(AND(N170="Sex",G170&lt;&gt;"",H170=""),$Z$3-G170,IF(AND(G170&lt;&gt;"",H170=""),$Z$3-G170,IF(AND(N170="Sex",H170&lt;$Y$3),$Z$3-H170,IF(AND(N170&lt;&gt;"Sex",H170&gt;$AA$8),"",IF(AND(N170="Sex",H170&gt;$Z$8),"",IF(AND(N170&lt;&gt;"Sex",I170&gt;$Z$8),$Z$8-H170,IF(AND(N170&lt;&gt;"Sex",H170&lt;$Y$8),$Z$8-H170,"")))))))))))))))</f>
        <v/>
      </c>
      <c r="Q170" s="33"/>
      <c r="R170" s="33"/>
      <c r="S170" s="33"/>
    </row>
    <row r="171" spans="1:19" x14ac:dyDescent="0.25">
      <c r="A171" s="115" t="s">
        <v>197</v>
      </c>
      <c r="B171" s="32">
        <v>43847</v>
      </c>
      <c r="C171" s="39">
        <f t="shared" si="10"/>
        <v>0.33333333333333331</v>
      </c>
      <c r="D171" s="33">
        <v>0.33333333333333331</v>
      </c>
      <c r="E171" s="33">
        <v>0.47916666666666669</v>
      </c>
      <c r="F171" s="39">
        <f t="shared" si="11"/>
        <v>0.52083333333333337</v>
      </c>
      <c r="G171" s="33">
        <v>0.52083333333333337</v>
      </c>
      <c r="H171" s="33">
        <v>0.75</v>
      </c>
      <c r="I171" s="39">
        <f>IFERROR(IF(B171=VLOOKUP(B171,Feriados[],2,0),H171,IF(N171="Sáb",H171,IF(AND(B171&lt;$T$1,H171&lt;=$AA$3),$Z$3,IF(AND(N171="Sex",H171&gt;$AA$3),H171,IF(H171&lt;=$AA$3,$Z$3,IF(H171&lt;=$AA$8,$Z$8,H171)))))),IF(N171="Sáb",H171,IF(AND(B171&lt;$T$1,H171&lt;=$AA$3),$Z$3,IF(AND(N171="Sex",H171&gt;$AA$3),H171,IF(H171&lt;=$AA$3,$Z$3,IF(H171&lt;=$AA$8,$Z$8,H171))))))</f>
        <v>0.75</v>
      </c>
      <c r="J171" s="33">
        <f t="shared" si="12"/>
        <v>0.375</v>
      </c>
      <c r="K171" s="33">
        <f>IFERROR(IF(H171="","",IF(B171=VLOOKUP(B171,Feriados[],2,0),(H171-D171)-(G171-E171),IF(D171&lt;=$Y$4,(I171-D171)-(G171-E171),(I171-C171)-(F171-E171)))),IF(AND(D171&lt;=$Y$4,F171-E171=$AB$1),(I171-D171)-(F171-E171),IF(D171&lt;$Y$4,(I171-D171)-(G171-E171),(I171-C171)-(F171-E171))))</f>
        <v>0.375</v>
      </c>
      <c r="L171" s="40" t="str">
        <f>IF(B171=_xlfn.XLOOKUP(B171,Feriados[FE Oficial],Feriados[FE Talvez],"",0),"",IF(Q171="Compensado","",IF(AND(N171="Sex",D171&lt;$Y$4),($Z$4-D171)+$AB$1-(F171-E171)+(I171-$Z$3),IF(AND(N171="Sex",I171&gt;$Z$3),($AB$1-(F171-E171))+(I171-$Z$3),IF(AND(N171="Sex",E171&lt;&gt;"",D171&lt;$Y$4),($Z$4-D171)+$AB$1-(F171-E171)+(I171-$Z$3),IF(N171="Sáb",(I171-D171)-(G171-E171)-(S171-R171),IF(AND(B171&lt;$T$1,I171&gt;$Z$3),H171-$Z$3,IF(D171&lt;$Y$4,($Z$4-D171)+($AB$1-(F171-E171))+(I171-$Z$8)+(S171-R171),IF(AND(S171&lt;&gt;"",D171&gt;$Z$4),(S171-R171)-($AB$1-(F171-E171)),IF(AND(S171&lt;&gt;"",D171&lt;$Y$4),(S171-R171)-($AB$1-(F171-E171)+($Z$4-D171)),IF(I171&gt;$Z$8,($AB$1-(F171-E171))+(I171-$Z$8),IF(AND(N171="Sex",(F171-E171)&lt;($AB$1-$W$1)),($AB$1-(F171-E171)),IF(AND(O171&gt;($AB$1-$W$1),D171&gt;$Z$4),"",IF(AND(B171&gt;=$T$1,(F171-E171)&gt;($AB$1-$W$1)),"",IF(AND(D171&gt;=$Y$4,I171=$Z$8,S171=""),($AB$1-(F171-E171)),IF(AND(P171&lt;&gt;"",S171&lt;&gt;""),I171-$Z$8,IF(AND(P171&lt;&gt;"",D171&gt;$Y$4),$AB$1-(F171-E171),"")))))))))))))))))</f>
        <v/>
      </c>
      <c r="M171" s="107" t="str">
        <f>IFERROR(IF(H171="","",IF(B171=VLOOKUP(B171,Feriados[],2,0),(H171-D171)-(G171-E171),"")),"")</f>
        <v/>
      </c>
      <c r="N171" s="38" t="str">
        <f t="shared" si="13"/>
        <v>Qui</v>
      </c>
      <c r="O171" s="112">
        <f t="shared" si="14"/>
        <v>4.1666666666666685E-2</v>
      </c>
      <c r="P171" s="113" t="str">
        <f>IF(B171=_xlfn.XLOOKUP(B171,Feriados[FE Oficial],Feriados[FE Talvez],"",0),"",IF(B171&lt;$T$1,"",IF(Q171="Consulta","",IF(Q171="Compensado","",IF(N171="Sáb","",IF(S171&lt;&gt;"",(S171-R171)-(($AB$1-O171)-(D171-$Z$4)),IF(O171&gt;$AB$1,O171-$AB$1,IF(C171&gt;$Z$4,C171-$Z$4,IF(AND(N171="Sex",G171&lt;&gt;"",H171=""),$Z$3-G171,IF(AND(G171&lt;&gt;"",H171=""),$Z$3-G171,IF(AND(N171="Sex",H171&lt;$Y$3),$Z$3-H171,IF(AND(N171&lt;&gt;"Sex",H171&gt;$AA$8),"",IF(AND(N171="Sex",H171&gt;$Z$8),"",IF(AND(N171&lt;&gt;"Sex",I171&gt;$Z$8),$Z$8-H171,IF(AND(N171&lt;&gt;"Sex",H171&lt;$Y$8),$Z$8-H171,"")))))))))))))))</f>
        <v/>
      </c>
      <c r="Q171" s="33"/>
      <c r="R171" s="33"/>
      <c r="S171" s="33"/>
    </row>
    <row r="172" spans="1:19" x14ac:dyDescent="0.25">
      <c r="A172" s="115" t="s">
        <v>190</v>
      </c>
      <c r="B172" s="32">
        <v>43847</v>
      </c>
      <c r="C172" s="39">
        <f t="shared" si="10"/>
        <v>0.33333333333333331</v>
      </c>
      <c r="D172" s="33">
        <v>0.33333333333333331</v>
      </c>
      <c r="E172" s="33">
        <v>0.48749999999999999</v>
      </c>
      <c r="F172" s="39">
        <f t="shared" si="11"/>
        <v>0.52083333333333337</v>
      </c>
      <c r="G172" s="33">
        <v>0.52083333333333337</v>
      </c>
      <c r="H172" s="33">
        <v>0.75</v>
      </c>
      <c r="I172" s="39">
        <f>IFERROR(IF(B172=VLOOKUP(B172,Feriados[],2,0),H172,IF(N172="Sáb",H172,IF(AND(B172&lt;$T$1,H172&lt;=$AA$3),$Z$3,IF(AND(N172="Sex",H172&gt;$AA$3),H172,IF(H172&lt;=$AA$3,$Z$3,IF(H172&lt;=$AA$8,$Z$8,H172)))))),IF(N172="Sáb",H172,IF(AND(B172&lt;$T$1,H172&lt;=$AA$3),$Z$3,IF(AND(N172="Sex",H172&gt;$AA$3),H172,IF(H172&lt;=$AA$3,$Z$3,IF(H172&lt;=$AA$8,$Z$8,H172))))))</f>
        <v>0.75</v>
      </c>
      <c r="J172" s="33">
        <f t="shared" si="12"/>
        <v>0.375</v>
      </c>
      <c r="K172" s="33">
        <f>IFERROR(IF(H172="","",IF(B172=VLOOKUP(B172,Feriados[],2,0),(H172-D172)-(G172-E172),IF(D172&lt;=$Y$4,(I172-D172)-(G172-E172),(I172-C172)-(F172-E172)))),IF(AND(D172&lt;=$Y$4,F172-E172=$AB$1),(I172-D172)-(F172-E172),IF(D172&lt;$Y$4,(I172-D172)-(G172-E172),(I172-C172)-(F172-E172))))</f>
        <v>0.3833333333333333</v>
      </c>
      <c r="L172" s="40">
        <f>IF(B172=_xlfn.XLOOKUP(B172,Feriados[FE Oficial],Feriados[FE Talvez],"",0),"",IF(Q172="Compensado","",IF(AND(N172="Sex",D172&lt;$Y$4),($Z$4-D172)+$AB$1-(F172-E172)+(I172-$Z$3),IF(AND(N172="Sex",I172&gt;$Z$3),($AB$1-(F172-E172))+(I172-$Z$3),IF(AND(N172="Sex",E172&lt;&gt;"",D172&lt;$Y$4),($Z$4-D172)+$AB$1-(F172-E172)+(I172-$Z$3),IF(N172="Sáb",(I172-D172)-(G172-E172)-(S172-R172),IF(AND(B172&lt;$T$1,I172&gt;$Z$3),H172-$Z$3,IF(D172&lt;$Y$4,($Z$4-D172)+($AB$1-(F172-E172))+(I172-$Z$8)+(S172-R172),IF(AND(S172&lt;&gt;"",D172&gt;$Z$4),(S172-R172)-($AB$1-(F172-E172)),IF(AND(S172&lt;&gt;"",D172&lt;$Y$4),(S172-R172)-($AB$1-(F172-E172)+($Z$4-D172)),IF(I172&gt;$Z$8,($AB$1-(F172-E172))+(I172-$Z$8),IF(AND(N172="Sex",(F172-E172)&lt;($AB$1-$W$1)),($AB$1-(F172-E172)),IF(AND(O172&gt;($AB$1-$W$1),D172&gt;$Z$4),"",IF(AND(B172&gt;=$T$1,(F172-E172)&gt;($AB$1-$W$1)),"",IF(AND(D172&gt;=$Y$4,I172=$Z$8,S172=""),($AB$1-(F172-E172)),IF(AND(P172&lt;&gt;"",S172&lt;&gt;""),I172-$Z$8,IF(AND(P172&lt;&gt;"",D172&gt;$Y$4),$AB$1-(F172-E172),"")))))))))))))))))</f>
        <v>8.3333333333332829E-3</v>
      </c>
      <c r="M172" s="107" t="str">
        <f>IFERROR(IF(H172="","",IF(B172=VLOOKUP(B172,Feriados[],2,0),(H172-D172)-(G172-E172),"")),"")</f>
        <v/>
      </c>
      <c r="N172" s="38" t="str">
        <f t="shared" si="13"/>
        <v>Qui</v>
      </c>
      <c r="O172" s="112">
        <f t="shared" si="14"/>
        <v>3.3333333333333381E-2</v>
      </c>
      <c r="P172" s="113" t="str">
        <f>IF(B172=_xlfn.XLOOKUP(B172,Feriados[FE Oficial],Feriados[FE Talvez],"",0),"",IF(B172&lt;$T$1,"",IF(Q172="Consulta","",IF(Q172="Compensado","",IF(N172="Sáb","",IF(S172&lt;&gt;"",(S172-R172)-(($AB$1-O172)-(D172-$Z$4)),IF(O172&gt;$AB$1,O172-$AB$1,IF(C172&gt;$Z$4,C172-$Z$4,IF(AND(N172="Sex",G172&lt;&gt;"",H172=""),$Z$3-G172,IF(AND(G172&lt;&gt;"",H172=""),$Z$3-G172,IF(AND(N172="Sex",H172&lt;$Y$3),$Z$3-H172,IF(AND(N172&lt;&gt;"Sex",H172&gt;$AA$8),"",IF(AND(N172="Sex",H172&gt;$Z$8),"",IF(AND(N172&lt;&gt;"Sex",I172&gt;$Z$8),$Z$8-H172,IF(AND(N172&lt;&gt;"Sex",H172&lt;$Y$8),$Z$8-H172,"")))))))))))))))</f>
        <v/>
      </c>
      <c r="Q172" s="33"/>
      <c r="R172" s="33"/>
      <c r="S172" s="33"/>
    </row>
    <row r="173" spans="1:19" x14ac:dyDescent="0.25">
      <c r="A173" s="115" t="s">
        <v>175</v>
      </c>
      <c r="B173" s="32">
        <v>43847</v>
      </c>
      <c r="C173" s="39">
        <f t="shared" si="10"/>
        <v>0.33333333333333331</v>
      </c>
      <c r="D173" s="33">
        <v>0.33333333333333331</v>
      </c>
      <c r="E173" s="33">
        <v>0.5</v>
      </c>
      <c r="F173" s="39">
        <f t="shared" si="11"/>
        <v>0.54166666666666663</v>
      </c>
      <c r="G173" s="33">
        <v>0.54166666666666663</v>
      </c>
      <c r="H173" s="33">
        <v>0.75</v>
      </c>
      <c r="I173" s="39">
        <f>IFERROR(IF(B173=VLOOKUP(B173,Feriados[],2,0),H173,IF(N173="Sáb",H173,IF(AND(B173&lt;$T$1,H173&lt;=$AA$3),$Z$3,IF(AND(N173="Sex",H173&gt;$AA$3),H173,IF(H173&lt;=$AA$3,$Z$3,IF(H173&lt;=$AA$8,$Z$8,H173)))))),IF(N173="Sáb",H173,IF(AND(B173&lt;$T$1,H173&lt;=$AA$3),$Z$3,IF(AND(N173="Sex",H173&gt;$AA$3),H173,IF(H173&lt;=$AA$3,$Z$3,IF(H173&lt;=$AA$8,$Z$8,H173))))))</f>
        <v>0.75</v>
      </c>
      <c r="J173" s="33">
        <f t="shared" si="12"/>
        <v>0.37500000000000006</v>
      </c>
      <c r="K173" s="33">
        <f>IFERROR(IF(H173="","",IF(B173=VLOOKUP(B173,Feriados[],2,0),(H173-D173)-(G173-E173),IF(D173&lt;=$Y$4,(I173-D173)-(G173-E173),(I173-C173)-(F173-E173)))),IF(AND(D173&lt;=$Y$4,F173-E173=$AB$1),(I173-D173)-(F173-E173),IF(D173&lt;$Y$4,(I173-D173)-(G173-E173),(I173-C173)-(F173-E173))))</f>
        <v>0.37500000000000006</v>
      </c>
      <c r="L173" s="40" t="str">
        <f>IF(B173=_xlfn.XLOOKUP(B173,Feriados[FE Oficial],Feriados[FE Talvez],"",0),"",IF(Q173="Compensado","",IF(AND(N173="Sex",D173&lt;$Y$4),($Z$4-D173)+$AB$1-(F173-E173)+(I173-$Z$3),IF(AND(N173="Sex",I173&gt;$Z$3),($AB$1-(F173-E173))+(I173-$Z$3),IF(AND(N173="Sex",E173&lt;&gt;"",D173&lt;$Y$4),($Z$4-D173)+$AB$1-(F173-E173)+(I173-$Z$3),IF(N173="Sáb",(I173-D173)-(G173-E173)-(S173-R173),IF(AND(B173&lt;$T$1,I173&gt;$Z$3),H173-$Z$3,IF(D173&lt;$Y$4,($Z$4-D173)+($AB$1-(F173-E173))+(I173-$Z$8)+(S173-R173),IF(AND(S173&lt;&gt;"",D173&gt;$Z$4),(S173-R173)-($AB$1-(F173-E173)),IF(AND(S173&lt;&gt;"",D173&lt;$Y$4),(S173-R173)-($AB$1-(F173-E173)+($Z$4-D173)),IF(I173&gt;$Z$8,($AB$1-(F173-E173))+(I173-$Z$8),IF(AND(N173="Sex",(F173-E173)&lt;($AB$1-$W$1)),($AB$1-(F173-E173)),IF(AND(O173&gt;($AB$1-$W$1),D173&gt;$Z$4),"",IF(AND(B173&gt;=$T$1,(F173-E173)&gt;($AB$1-$W$1)),"",IF(AND(D173&gt;=$Y$4,I173=$Z$8,S173=""),($AB$1-(F173-E173)),IF(AND(P173&lt;&gt;"",S173&lt;&gt;""),I173-$Z$8,IF(AND(P173&lt;&gt;"",D173&gt;$Y$4),$AB$1-(F173-E173),"")))))))))))))))))</f>
        <v/>
      </c>
      <c r="M173" s="107" t="str">
        <f>IFERROR(IF(H173="","",IF(B173=VLOOKUP(B173,Feriados[],2,0),(H173-D173)-(G173-E173),"")),"")</f>
        <v/>
      </c>
      <c r="N173" s="38" t="str">
        <f t="shared" si="13"/>
        <v>Qui</v>
      </c>
      <c r="O173" s="112">
        <f t="shared" si="14"/>
        <v>4.166666666666663E-2</v>
      </c>
      <c r="P173" s="113" t="str">
        <f>IF(B173=_xlfn.XLOOKUP(B173,Feriados[FE Oficial],Feriados[FE Talvez],"",0),"",IF(B173&lt;$T$1,"",IF(Q173="Consulta","",IF(Q173="Compensado","",IF(N173="Sáb","",IF(S173&lt;&gt;"",(S173-R173)-(($AB$1-O173)-(D173-$Z$4)),IF(O173&gt;$AB$1,O173-$AB$1,IF(C173&gt;$Z$4,C173-$Z$4,IF(AND(N173="Sex",G173&lt;&gt;"",H173=""),$Z$3-G173,IF(AND(G173&lt;&gt;"",H173=""),$Z$3-G173,IF(AND(N173="Sex",H173&lt;$Y$3),$Z$3-H173,IF(AND(N173&lt;&gt;"Sex",H173&gt;$AA$8),"",IF(AND(N173="Sex",H173&gt;$Z$8),"",IF(AND(N173&lt;&gt;"Sex",I173&gt;$Z$8),$Z$8-H173,IF(AND(N173&lt;&gt;"Sex",H173&lt;$Y$8),$Z$8-H173,"")))))))))))))))</f>
        <v/>
      </c>
      <c r="Q173" s="33"/>
      <c r="R173" s="33"/>
      <c r="S173" s="33"/>
    </row>
    <row r="174" spans="1:19" x14ac:dyDescent="0.25">
      <c r="A174" s="116" t="s">
        <v>194</v>
      </c>
      <c r="B174" s="32">
        <v>43848</v>
      </c>
      <c r="C174" s="39">
        <f t="shared" si="10"/>
        <v>0.33333333333333331</v>
      </c>
      <c r="D174" s="33">
        <v>0.29166666666666669</v>
      </c>
      <c r="E174" s="33">
        <v>0.5</v>
      </c>
      <c r="F174" s="39">
        <f t="shared" si="11"/>
        <v>0.54166666666666663</v>
      </c>
      <c r="G174" s="33">
        <v>0.54166666666666663</v>
      </c>
      <c r="H174" s="33">
        <v>0.70833333333333337</v>
      </c>
      <c r="I174" s="39">
        <f>IFERROR(IF(B174=VLOOKUP(B174,Feriados[],2,0),H174,IF(N174="Sáb",H174,IF(AND(B174&lt;$T$1,H174&lt;=$AA$3),$Z$3,IF(AND(N174="Sex",H174&gt;$AA$3),H174,IF(H174&lt;=$AA$3,$Z$3,IF(H174&lt;=$AA$8,$Z$8,H174)))))),IF(N174="Sáb",H174,IF(AND(B174&lt;$T$1,H174&lt;=$AA$3),$Z$3,IF(AND(N174="Sex",H174&gt;$AA$3),H174,IF(H174&lt;=$AA$3,$Z$3,IF(H174&lt;=$AA$8,$Z$8,H174))))))</f>
        <v>0.70833333333333337</v>
      </c>
      <c r="J174" s="33">
        <f t="shared" si="12"/>
        <v>0.33333333333333331</v>
      </c>
      <c r="K174" s="33">
        <f>IFERROR(IF(H174="","",IF(B174=VLOOKUP(B174,Feriados[],2,0),(H174-D174)-(G174-E174),IF(D174&lt;=$Y$4,(I174-D174)-(G174-E174),(I174-C174)-(F174-E174)))),IF(AND(D174&lt;=$Y$4,F174-E174=$AB$1),(I174-D174)-(F174-E174),IF(D174&lt;$Y$4,(I174-D174)-(G174-E174),(I174-C174)-(F174-E174))))</f>
        <v>0.37500000000000006</v>
      </c>
      <c r="L174" s="40">
        <f>IF(B174=_xlfn.XLOOKUP(B174,Feriados[FE Oficial],Feriados[FE Talvez],"",0),"",IF(Q174="Compensado","",IF(AND(N174="Sex",D174&lt;$Y$4),($Z$4-D174)+$AB$1-(F174-E174)+(I174-$Z$3),IF(AND(N174="Sex",I174&gt;$Z$3),($AB$1-(F174-E174))+(I174-$Z$3),IF(AND(N174="Sex",E174&lt;&gt;"",D174&lt;$Y$4),($Z$4-D174)+$AB$1-(F174-E174)+(I174-$Z$3),IF(N174="Sáb",(I174-D174)-(G174-E174)-(S174-R174),IF(AND(B174&lt;$T$1,I174&gt;$Z$3),H174-$Z$3,IF(D174&lt;$Y$4,($Z$4-D174)+($AB$1-(F174-E174))+(I174-$Z$8)+(S174-R174),IF(AND(S174&lt;&gt;"",D174&gt;$Z$4),(S174-R174)-($AB$1-(F174-E174)),IF(AND(S174&lt;&gt;"",D174&lt;$Y$4),(S174-R174)-($AB$1-(F174-E174)+($Z$4-D174)),IF(I174&gt;$Z$8,($AB$1-(F174-E174))+(I174-$Z$8),IF(AND(N174="Sex",(F174-E174)&lt;($AB$1-$W$1)),($AB$1-(F174-E174)),IF(AND(O174&gt;($AB$1-$W$1),D174&gt;$Z$4),"",IF(AND(B174&gt;=$T$1,(F174-E174)&gt;($AB$1-$W$1)),"",IF(AND(D174&gt;=$Y$4,I174=$Z$8,S174=""),($AB$1-(F174-E174)),IF(AND(P174&lt;&gt;"",S174&lt;&gt;""),I174-$Z$8,IF(AND(P174&lt;&gt;"",D174&gt;$Y$4),$AB$1-(F174-E174),"")))))))))))))))))</f>
        <v>4.1666666666666657E-2</v>
      </c>
      <c r="M174" s="107" t="str">
        <f>IFERROR(IF(H174="","",IF(B174=VLOOKUP(B174,Feriados[],2,0),(H174-D174)-(G174-E174),"")),"")</f>
        <v/>
      </c>
      <c r="N174" s="38" t="str">
        <f t="shared" si="13"/>
        <v>Sex</v>
      </c>
      <c r="O174" s="112">
        <f t="shared" si="14"/>
        <v>4.166666666666663E-2</v>
      </c>
      <c r="P174" s="113" t="str">
        <f>IF(B174=_xlfn.XLOOKUP(B174,Feriados[FE Oficial],Feriados[FE Talvez],"",0),"",IF(B174&lt;$T$1,"",IF(Q174="Consulta","",IF(Q174="Compensado","",IF(N174="Sáb","",IF(S174&lt;&gt;"",(S174-R174)-(($AB$1-O174)-(D174-$Z$4)),IF(O174&gt;$AB$1,O174-$AB$1,IF(C174&gt;$Z$4,C174-$Z$4,IF(AND(N174="Sex",G174&lt;&gt;"",H174=""),$Z$3-G174,IF(AND(G174&lt;&gt;"",H174=""),$Z$3-G174,IF(AND(N174="Sex",H174&lt;$Y$3),$Z$3-H174,IF(AND(N174&lt;&gt;"Sex",H174&gt;$AA$8),"",IF(AND(N174="Sex",H174&gt;$Z$8),"",IF(AND(N174&lt;&gt;"Sex",I174&gt;$Z$8),$Z$8-H174,IF(AND(N174&lt;&gt;"Sex",H174&lt;$Y$8),$Z$8-H174,"")))))))))))))))</f>
        <v/>
      </c>
      <c r="Q174" s="33"/>
      <c r="R174" s="33"/>
      <c r="S174" s="33"/>
    </row>
    <row r="175" spans="1:19" x14ac:dyDescent="0.25">
      <c r="A175" s="115" t="s">
        <v>191</v>
      </c>
      <c r="B175" s="32">
        <v>43848</v>
      </c>
      <c r="C175" s="39">
        <f t="shared" si="10"/>
        <v>0.33333333333333331</v>
      </c>
      <c r="D175" s="33">
        <v>0.32500000000000001</v>
      </c>
      <c r="E175" s="33">
        <v>0.5</v>
      </c>
      <c r="F175" s="39">
        <f t="shared" si="11"/>
        <v>0.54166666666666663</v>
      </c>
      <c r="G175" s="33">
        <v>0.54166666666666663</v>
      </c>
      <c r="H175" s="33">
        <v>0.70833333333333337</v>
      </c>
      <c r="I175" s="39">
        <f>IFERROR(IF(B175=VLOOKUP(B175,Feriados[],2,0),H175,IF(N175="Sáb",H175,IF(AND(B175&lt;$T$1,H175&lt;=$AA$3),$Z$3,IF(AND(N175="Sex",H175&gt;$AA$3),H175,IF(H175&lt;=$AA$3,$Z$3,IF(H175&lt;=$AA$8,$Z$8,H175)))))),IF(N175="Sáb",H175,IF(AND(B175&lt;$T$1,H175&lt;=$AA$3),$Z$3,IF(AND(N175="Sex",H175&gt;$AA$3),H175,IF(H175&lt;=$AA$3,$Z$3,IF(H175&lt;=$AA$8,$Z$8,H175))))))</f>
        <v>0.70833333333333337</v>
      </c>
      <c r="J175" s="33">
        <f t="shared" si="12"/>
        <v>0.33333333333333331</v>
      </c>
      <c r="K175" s="33">
        <f>IFERROR(IF(H175="","",IF(B175=VLOOKUP(B175,Feriados[],2,0),(H175-D175)-(G175-E175),IF(D175&lt;=$Y$4,(I175-D175)-(G175-E175),(I175-C175)-(F175-E175)))),IF(AND(D175&lt;=$Y$4,F175-E175=$AB$1),(I175-D175)-(F175-E175),IF(D175&lt;$Y$4,(I175-D175)-(G175-E175),(I175-C175)-(F175-E175))))</f>
        <v>0.34166666666666673</v>
      </c>
      <c r="L175" s="40">
        <f>IF(B175=_xlfn.XLOOKUP(B175,Feriados[FE Oficial],Feriados[FE Talvez],"",0),"",IF(Q175="Compensado","",IF(AND(N175="Sex",D175&lt;$Y$4),($Z$4-D175)+$AB$1-(F175-E175)+(I175-$Z$3),IF(AND(N175="Sex",I175&gt;$Z$3),($AB$1-(F175-E175))+(I175-$Z$3),IF(AND(N175="Sex",E175&lt;&gt;"",D175&lt;$Y$4),($Z$4-D175)+$AB$1-(F175-E175)+(I175-$Z$3),IF(N175="Sáb",(I175-D175)-(G175-E175)-(S175-R175),IF(AND(B175&lt;$T$1,I175&gt;$Z$3),H175-$Z$3,IF(D175&lt;$Y$4,($Z$4-D175)+($AB$1-(F175-E175))+(I175-$Z$8)+(S175-R175),IF(AND(S175&lt;&gt;"",D175&gt;$Z$4),(S175-R175)-($AB$1-(F175-E175)),IF(AND(S175&lt;&gt;"",D175&lt;$Y$4),(S175-R175)-($AB$1-(F175-E175)+($Z$4-D175)),IF(I175&gt;$Z$8,($AB$1-(F175-E175))+(I175-$Z$8),IF(AND(N175="Sex",(F175-E175)&lt;($AB$1-$W$1)),($AB$1-(F175-E175)),IF(AND(O175&gt;($AB$1-$W$1),D175&gt;$Z$4),"",IF(AND(B175&gt;=$T$1,(F175-E175)&gt;($AB$1-$W$1)),"",IF(AND(D175&gt;=$Y$4,I175=$Z$8,S175=""),($AB$1-(F175-E175)),IF(AND(P175&lt;&gt;"",S175&lt;&gt;""),I175-$Z$8,IF(AND(P175&lt;&gt;"",D175&gt;$Y$4),$AB$1-(F175-E175),"")))))))))))))))))</f>
        <v>8.3333333333333384E-3</v>
      </c>
      <c r="M175" s="107" t="str">
        <f>IFERROR(IF(H175="","",IF(B175=VLOOKUP(B175,Feriados[],2,0),(H175-D175)-(G175-E175),"")),"")</f>
        <v/>
      </c>
      <c r="N175" s="38" t="str">
        <f t="shared" si="13"/>
        <v>Sex</v>
      </c>
      <c r="O175" s="112">
        <f t="shared" si="14"/>
        <v>4.166666666666663E-2</v>
      </c>
      <c r="P175" s="113" t="str">
        <f>IF(B175=_xlfn.XLOOKUP(B175,Feriados[FE Oficial],Feriados[FE Talvez],"",0),"",IF(B175&lt;$T$1,"",IF(Q175="Consulta","",IF(Q175="Compensado","",IF(N175="Sáb","",IF(S175&lt;&gt;"",(S175-R175)-(($AB$1-O175)-(D175-$Z$4)),IF(O175&gt;$AB$1,O175-$AB$1,IF(C175&gt;$Z$4,C175-$Z$4,IF(AND(N175="Sex",G175&lt;&gt;"",H175=""),$Z$3-G175,IF(AND(G175&lt;&gt;"",H175=""),$Z$3-G175,IF(AND(N175="Sex",H175&lt;$Y$3),$Z$3-H175,IF(AND(N175&lt;&gt;"Sex",H175&gt;$AA$8),"",IF(AND(N175="Sex",H175&gt;$Z$8),"",IF(AND(N175&lt;&gt;"Sex",I175&gt;$Z$8),$Z$8-H175,IF(AND(N175&lt;&gt;"Sex",H175&lt;$Y$8),$Z$8-H175,"")))))))))))))))</f>
        <v/>
      </c>
      <c r="Q175" s="33"/>
      <c r="R175" s="33"/>
      <c r="S175" s="33"/>
    </row>
    <row r="176" spans="1:19" x14ac:dyDescent="0.25">
      <c r="A176" s="115" t="s">
        <v>197</v>
      </c>
      <c r="B176" s="32">
        <v>43848</v>
      </c>
      <c r="C176" s="39">
        <f t="shared" si="10"/>
        <v>0.47916666666666669</v>
      </c>
      <c r="D176" s="33">
        <v>0.47916666666666669</v>
      </c>
      <c r="F176" s="39">
        <f t="shared" si="11"/>
        <v>0</v>
      </c>
      <c r="H176" s="33">
        <v>0.70833333333333337</v>
      </c>
      <c r="I176" s="39">
        <f>IFERROR(IF(B176=VLOOKUP(B176,Feriados[],2,0),H176,IF(N176="Sáb",H176,IF(AND(B176&lt;$T$1,H176&lt;=$AA$3),$Z$3,IF(AND(N176="Sex",H176&gt;$AA$3),H176,IF(H176&lt;=$AA$3,$Z$3,IF(H176&lt;=$AA$8,$Z$8,H176)))))),IF(N176="Sáb",H176,IF(AND(B176&lt;$T$1,H176&lt;=$AA$3),$Z$3,IF(AND(N176="Sex",H176&gt;$AA$3),H176,IF(H176&lt;=$AA$3,$Z$3,IF(H176&lt;=$AA$8,$Z$8,H176))))))</f>
        <v>0.70833333333333337</v>
      </c>
      <c r="J176" s="33">
        <f t="shared" si="12"/>
        <v>0.22916666666666669</v>
      </c>
      <c r="K176" s="33">
        <f>IFERROR(IF(H176="","",IF(B176=VLOOKUP(B176,Feriados[],2,0),(H176-D176)-(G176-E176),IF(D176&lt;=$Y$4,(I176-D176)-(G176-E176),(I176-C176)-(F176-E176)))),IF(AND(D176&lt;=$Y$4,F176-E176=$AB$1),(I176-D176)-(F176-E176),IF(D176&lt;$Y$4,(I176-D176)-(G176-E176),(I176-C176)-(F176-E176))))</f>
        <v>0.22916666666666669</v>
      </c>
      <c r="L176" s="40">
        <f>IF(B176=_xlfn.XLOOKUP(B176,Feriados[FE Oficial],Feriados[FE Talvez],"",0),"",IF(Q176="Compensado","",IF(AND(N176="Sex",D176&lt;$Y$4),($Z$4-D176)+$AB$1-(F176-E176)+(I176-$Z$3),IF(AND(N176="Sex",I176&gt;$Z$3),($AB$1-(F176-E176))+(I176-$Z$3),IF(AND(N176="Sex",E176&lt;&gt;"",D176&lt;$Y$4),($Z$4-D176)+$AB$1-(F176-E176)+(I176-$Z$3),IF(N176="Sáb",(I176-D176)-(G176-E176)-(S176-R176),IF(AND(B176&lt;$T$1,I176&gt;$Z$3),H176-$Z$3,IF(D176&lt;$Y$4,($Z$4-D176)+($AB$1-(F176-E176))+(I176-$Z$8)+(S176-R176),IF(AND(S176&lt;&gt;"",D176&gt;$Z$4),(S176-R176)-($AB$1-(F176-E176)),IF(AND(S176&lt;&gt;"",D176&lt;$Y$4),(S176-R176)-($AB$1-(F176-E176)+($Z$4-D176)),IF(I176&gt;$Z$8,($AB$1-(F176-E176))+(I176-$Z$8),IF(AND(N176="Sex",(F176-E176)&lt;($AB$1-$W$1)),($AB$1-(F176-E176)),IF(AND(O176&gt;($AB$1-$W$1),D176&gt;$Z$4),"",IF(AND(B176&gt;=$T$1,(F176-E176)&gt;($AB$1-$W$1)),"",IF(AND(D176&gt;=$Y$4,I176=$Z$8,S176=""),($AB$1-(F176-E176)),IF(AND(P176&lt;&gt;"",S176&lt;&gt;""),I176-$Z$8,IF(AND(P176&lt;&gt;"",D176&gt;$Y$4),$AB$1-(F176-E176),"")))))))))))))))))</f>
        <v>4.1666666666666664E-2</v>
      </c>
      <c r="M176" s="107" t="str">
        <f>IFERROR(IF(H176="","",IF(B176=VLOOKUP(B176,Feriados[],2,0),(H176-D176)-(G176-E176),"")),"")</f>
        <v/>
      </c>
      <c r="N176" s="38" t="str">
        <f t="shared" si="13"/>
        <v>Sex</v>
      </c>
      <c r="O176" s="112">
        <f t="shared" si="14"/>
        <v>0</v>
      </c>
      <c r="P176" s="113">
        <f>IF(B176=_xlfn.XLOOKUP(B176,Feriados[FE Oficial],Feriados[FE Talvez],"",0),"",IF(B176&lt;$T$1,"",IF(Q176="Consulta","",IF(Q176="Compensado","",IF(N176="Sáb","",IF(S176&lt;&gt;"",(S176-R176)-(($AB$1-O176)-(D176-$Z$4)),IF(O176&gt;$AB$1,O176-$AB$1,IF(C176&gt;$Z$4,C176-$Z$4,IF(AND(N176="Sex",G176&lt;&gt;"",H176=""),$Z$3-G176,IF(AND(G176&lt;&gt;"",H176=""),$Z$3-G176,IF(AND(N176="Sex",H176&lt;$Y$3),$Z$3-H176,IF(AND(N176&lt;&gt;"Sex",H176&gt;$AA$8),"",IF(AND(N176="Sex",H176&gt;$Z$8),"",IF(AND(N176&lt;&gt;"Sex",I176&gt;$Z$8),$Z$8-H176,IF(AND(N176&lt;&gt;"Sex",H176&lt;$Y$8),$Z$8-H176,"")))))))))))))))</f>
        <v>0.14583333333333337</v>
      </c>
      <c r="Q176" s="33"/>
      <c r="R176" s="33"/>
      <c r="S176" s="33"/>
    </row>
    <row r="177" spans="1:19" x14ac:dyDescent="0.25">
      <c r="A177" s="115" t="s">
        <v>190</v>
      </c>
      <c r="B177" s="32">
        <v>43848</v>
      </c>
      <c r="C177" s="39">
        <f t="shared" si="10"/>
        <v>0.5395833333333333</v>
      </c>
      <c r="D177" s="33">
        <v>0.5395833333333333</v>
      </c>
      <c r="F177" s="39">
        <f t="shared" si="11"/>
        <v>0</v>
      </c>
      <c r="H177" s="33">
        <v>0.70833333333333337</v>
      </c>
      <c r="I177" s="39">
        <f>IFERROR(IF(B177=VLOOKUP(B177,Feriados[],2,0),H177,IF(N177="Sáb",H177,IF(AND(B177&lt;$T$1,H177&lt;=$AA$3),$Z$3,IF(AND(N177="Sex",H177&gt;$AA$3),H177,IF(H177&lt;=$AA$3,$Z$3,IF(H177&lt;=$AA$8,$Z$8,H177)))))),IF(N177="Sáb",H177,IF(AND(B177&lt;$T$1,H177&lt;=$AA$3),$Z$3,IF(AND(N177="Sex",H177&gt;$AA$3),H177,IF(H177&lt;=$AA$3,$Z$3,IF(H177&lt;=$AA$8,$Z$8,H177))))))</f>
        <v>0.70833333333333337</v>
      </c>
      <c r="J177" s="33">
        <f t="shared" si="12"/>
        <v>0.16875000000000007</v>
      </c>
      <c r="K177" s="33">
        <f>IFERROR(IF(H177="","",IF(B177=VLOOKUP(B177,Feriados[],2,0),(H177-D177)-(G177-E177),IF(D177&lt;=$Y$4,(I177-D177)-(G177-E177),(I177-C177)-(F177-E177)))),IF(AND(D177&lt;=$Y$4,F177-E177=$AB$1),(I177-D177)-(F177-E177),IF(D177&lt;$Y$4,(I177-D177)-(G177-E177),(I177-C177)-(F177-E177))))</f>
        <v>0.16875000000000007</v>
      </c>
      <c r="L177" s="40">
        <f>IF(B177=_xlfn.XLOOKUP(B177,Feriados[FE Oficial],Feriados[FE Talvez],"",0),"",IF(Q177="Compensado","",IF(AND(N177="Sex",D177&lt;$Y$4),($Z$4-D177)+$AB$1-(F177-E177)+(I177-$Z$3),IF(AND(N177="Sex",I177&gt;$Z$3),($AB$1-(F177-E177))+(I177-$Z$3),IF(AND(N177="Sex",E177&lt;&gt;"",D177&lt;$Y$4),($Z$4-D177)+$AB$1-(F177-E177)+(I177-$Z$3),IF(N177="Sáb",(I177-D177)-(G177-E177)-(S177-R177),IF(AND(B177&lt;$T$1,I177&gt;$Z$3),H177-$Z$3,IF(D177&lt;$Y$4,($Z$4-D177)+($AB$1-(F177-E177))+(I177-$Z$8)+(S177-R177),IF(AND(S177&lt;&gt;"",D177&gt;$Z$4),(S177-R177)-($AB$1-(F177-E177)),IF(AND(S177&lt;&gt;"",D177&lt;$Y$4),(S177-R177)-($AB$1-(F177-E177)+($Z$4-D177)),IF(I177&gt;$Z$8,($AB$1-(F177-E177))+(I177-$Z$8),IF(AND(N177="Sex",(F177-E177)&lt;($AB$1-$W$1)),($AB$1-(F177-E177)),IF(AND(O177&gt;($AB$1-$W$1),D177&gt;$Z$4),"",IF(AND(B177&gt;=$T$1,(F177-E177)&gt;($AB$1-$W$1)),"",IF(AND(D177&gt;=$Y$4,I177=$Z$8,S177=""),($AB$1-(F177-E177)),IF(AND(P177&lt;&gt;"",S177&lt;&gt;""),I177-$Z$8,IF(AND(P177&lt;&gt;"",D177&gt;$Y$4),$AB$1-(F177-E177),"")))))))))))))))))</f>
        <v>4.1666666666666664E-2</v>
      </c>
      <c r="M177" s="107" t="str">
        <f>IFERROR(IF(H177="","",IF(B177=VLOOKUP(B177,Feriados[],2,0),(H177-D177)-(G177-E177),"")),"")</f>
        <v/>
      </c>
      <c r="N177" s="38" t="str">
        <f t="shared" si="13"/>
        <v>Sex</v>
      </c>
      <c r="O177" s="112">
        <f t="shared" si="14"/>
        <v>0</v>
      </c>
      <c r="P177" s="113">
        <f>IF(B177=_xlfn.XLOOKUP(B177,Feriados[FE Oficial],Feriados[FE Talvez],"",0),"",IF(B177&lt;$T$1,"",IF(Q177="Consulta","",IF(Q177="Compensado","",IF(N177="Sáb","",IF(S177&lt;&gt;"",(S177-R177)-(($AB$1-O177)-(D177-$Z$4)),IF(O177&gt;$AB$1,O177-$AB$1,IF(C177&gt;$Z$4,C177-$Z$4,IF(AND(N177="Sex",G177&lt;&gt;"",H177=""),$Z$3-G177,IF(AND(G177&lt;&gt;"",H177=""),$Z$3-G177,IF(AND(N177="Sex",H177&lt;$Y$3),$Z$3-H177,IF(AND(N177&lt;&gt;"Sex",H177&gt;$AA$8),"",IF(AND(N177="Sex",H177&gt;$Z$8),"",IF(AND(N177&lt;&gt;"Sex",I177&gt;$Z$8),$Z$8-H177,IF(AND(N177&lt;&gt;"Sex",H177&lt;$Y$8),$Z$8-H177,"")))))))))))))))</f>
        <v>0.20624999999999999</v>
      </c>
      <c r="Q177" s="33"/>
      <c r="R177" s="33"/>
      <c r="S177" s="33"/>
    </row>
    <row r="178" spans="1:19" x14ac:dyDescent="0.25">
      <c r="A178" s="115" t="s">
        <v>175</v>
      </c>
      <c r="B178" s="32">
        <v>43848</v>
      </c>
      <c r="C178" s="39">
        <f t="shared" si="10"/>
        <v>0.47916666666666669</v>
      </c>
      <c r="D178" s="33">
        <v>0.47916666666666669</v>
      </c>
      <c r="F178" s="39">
        <f t="shared" si="11"/>
        <v>0</v>
      </c>
      <c r="H178" s="33">
        <v>0.70833333333333337</v>
      </c>
      <c r="I178" s="39">
        <f>IFERROR(IF(B178=VLOOKUP(B178,Feriados[],2,0),H178,IF(N178="Sáb",H178,IF(AND(B178&lt;$T$1,H178&lt;=$AA$3),$Z$3,IF(AND(N178="Sex",H178&gt;$AA$3),H178,IF(H178&lt;=$AA$3,$Z$3,IF(H178&lt;=$AA$8,$Z$8,H178)))))),IF(N178="Sáb",H178,IF(AND(B178&lt;$T$1,H178&lt;=$AA$3),$Z$3,IF(AND(N178="Sex",H178&gt;$AA$3),H178,IF(H178&lt;=$AA$3,$Z$3,IF(H178&lt;=$AA$8,$Z$8,H178))))))</f>
        <v>0.70833333333333337</v>
      </c>
      <c r="J178" s="33">
        <f t="shared" si="12"/>
        <v>0.22916666666666669</v>
      </c>
      <c r="K178" s="33">
        <f>IFERROR(IF(H178="","",IF(B178=VLOOKUP(B178,Feriados[],2,0),(H178-D178)-(G178-E178),IF(D178&lt;=$Y$4,(I178-D178)-(G178-E178),(I178-C178)-(F178-E178)))),IF(AND(D178&lt;=$Y$4,F178-E178=$AB$1),(I178-D178)-(F178-E178),IF(D178&lt;$Y$4,(I178-D178)-(G178-E178),(I178-C178)-(F178-E178))))</f>
        <v>0.22916666666666669</v>
      </c>
      <c r="L178" s="40">
        <f>IF(B178=_xlfn.XLOOKUP(B178,Feriados[FE Oficial],Feriados[FE Talvez],"",0),"",IF(Q178="Compensado","",IF(AND(N178="Sex",D178&lt;$Y$4),($Z$4-D178)+$AB$1-(F178-E178)+(I178-$Z$3),IF(AND(N178="Sex",I178&gt;$Z$3),($AB$1-(F178-E178))+(I178-$Z$3),IF(AND(N178="Sex",E178&lt;&gt;"",D178&lt;$Y$4),($Z$4-D178)+$AB$1-(F178-E178)+(I178-$Z$3),IF(N178="Sáb",(I178-D178)-(G178-E178)-(S178-R178),IF(AND(B178&lt;$T$1,I178&gt;$Z$3),H178-$Z$3,IF(D178&lt;$Y$4,($Z$4-D178)+($AB$1-(F178-E178))+(I178-$Z$8)+(S178-R178),IF(AND(S178&lt;&gt;"",D178&gt;$Z$4),(S178-R178)-($AB$1-(F178-E178)),IF(AND(S178&lt;&gt;"",D178&lt;$Y$4),(S178-R178)-($AB$1-(F178-E178)+($Z$4-D178)),IF(I178&gt;$Z$8,($AB$1-(F178-E178))+(I178-$Z$8),IF(AND(N178="Sex",(F178-E178)&lt;($AB$1-$W$1)),($AB$1-(F178-E178)),IF(AND(O178&gt;($AB$1-$W$1),D178&gt;$Z$4),"",IF(AND(B178&gt;=$T$1,(F178-E178)&gt;($AB$1-$W$1)),"",IF(AND(D178&gt;=$Y$4,I178=$Z$8,S178=""),($AB$1-(F178-E178)),IF(AND(P178&lt;&gt;"",S178&lt;&gt;""),I178-$Z$8,IF(AND(P178&lt;&gt;"",D178&gt;$Y$4),$AB$1-(F178-E178),"")))))))))))))))))</f>
        <v>4.1666666666666664E-2</v>
      </c>
      <c r="M178" s="107" t="str">
        <f>IFERROR(IF(H178="","",IF(B178=VLOOKUP(B178,Feriados[],2,0),(H178-D178)-(G178-E178),"")),"")</f>
        <v/>
      </c>
      <c r="N178" s="38" t="str">
        <f t="shared" si="13"/>
        <v>Sex</v>
      </c>
      <c r="O178" s="112">
        <f t="shared" si="14"/>
        <v>0</v>
      </c>
      <c r="P178" s="113">
        <f>IF(B178=_xlfn.XLOOKUP(B178,Feriados[FE Oficial],Feriados[FE Talvez],"",0),"",IF(B178&lt;$T$1,"",IF(Q178="Consulta","",IF(Q178="Compensado","",IF(N178="Sáb","",IF(S178&lt;&gt;"",(S178-R178)-(($AB$1-O178)-(D178-$Z$4)),IF(O178&gt;$AB$1,O178-$AB$1,IF(C178&gt;$Z$4,C178-$Z$4,IF(AND(N178="Sex",G178&lt;&gt;"",H178=""),$Z$3-G178,IF(AND(G178&lt;&gt;"",H178=""),$Z$3-G178,IF(AND(N178="Sex",H178&lt;$Y$3),$Z$3-H178,IF(AND(N178&lt;&gt;"Sex",H178&gt;$AA$8),"",IF(AND(N178="Sex",H178&gt;$Z$8),"",IF(AND(N178&lt;&gt;"Sex",I178&gt;$Z$8),$Z$8-H178,IF(AND(N178&lt;&gt;"Sex",H178&lt;$Y$8),$Z$8-H178,"")))))))))))))))</f>
        <v>0.14583333333333337</v>
      </c>
      <c r="Q178" s="33"/>
      <c r="R178" s="33"/>
      <c r="S178" s="33"/>
    </row>
    <row r="179" spans="1:19" x14ac:dyDescent="0.25">
      <c r="A179" s="115" t="s">
        <v>175</v>
      </c>
      <c r="B179" s="32">
        <v>43849</v>
      </c>
      <c r="C179" s="39">
        <f t="shared" si="10"/>
        <v>0.33333333333333331</v>
      </c>
      <c r="D179" s="33">
        <v>0.32500000000000001</v>
      </c>
      <c r="E179" s="33">
        <v>0.50138888888888888</v>
      </c>
      <c r="F179" s="39">
        <f t="shared" si="11"/>
        <v>0.53125</v>
      </c>
      <c r="G179" s="33">
        <v>0.53125</v>
      </c>
      <c r="H179" s="33">
        <v>0.66666666666666663</v>
      </c>
      <c r="I179" s="39">
        <f>IFERROR(IF(B179=VLOOKUP(B179,Feriados[],2,0),H179,IF(N179="Sáb",H179,IF(AND(B179&lt;$T$1,H179&lt;=$AA$3),$Z$3,IF(AND(N179="Sex",H179&gt;$AA$3),H179,IF(H179&lt;=$AA$3,$Z$3,IF(H179&lt;=$AA$8,$Z$8,H179)))))),IF(N179="Sáb",H179,IF(AND(B179&lt;$T$1,H179&lt;=$AA$3),$Z$3,IF(AND(N179="Sex",H179&gt;$AA$3),H179,IF(H179&lt;=$AA$3,$Z$3,IF(H179&lt;=$AA$8,$Z$8,H179))))))</f>
        <v>0.66666666666666663</v>
      </c>
      <c r="J179" s="33">
        <f t="shared" si="12"/>
        <v>0.3118055555555555</v>
      </c>
      <c r="K179" s="33">
        <f>IFERROR(IF(H179="","",IF(B179=VLOOKUP(B179,Feriados[],2,0),(H179-D179)-(G179-E179),IF(D179&lt;=$Y$4,(I179-D179)-(G179-E179),(I179-C179)-(F179-E179)))),IF(AND(D179&lt;=$Y$4,F179-E179=$AB$1),(I179-D179)-(F179-E179),IF(D179&lt;$Y$4,(I179-D179)-(G179-E179),(I179-C179)-(F179-E179))))</f>
        <v>0.3118055555555555</v>
      </c>
      <c r="L179" s="40">
        <f>IF(B179=_xlfn.XLOOKUP(B179,Feriados[FE Oficial],Feriados[FE Talvez],"",0),"",IF(Q179="Compensado","",IF(AND(N179="Sex",D179&lt;$Y$4),($Z$4-D179)+$AB$1-(F179-E179)+(I179-$Z$3),IF(AND(N179="Sex",I179&gt;$Z$3),($AB$1-(F179-E179))+(I179-$Z$3),IF(AND(N179="Sex",E179&lt;&gt;"",D179&lt;$Y$4),($Z$4-D179)+$AB$1-(F179-E179)+(I179-$Z$3),IF(N179="Sáb",(I179-D179)-(G179-E179)-(S179-R179),IF(AND(B179&lt;$T$1,I179&gt;$Z$3),H179-$Z$3,IF(D179&lt;$Y$4,($Z$4-D179)+($AB$1-(F179-E179))+(I179-$Z$8)+(S179-R179),IF(AND(S179&lt;&gt;"",D179&gt;$Z$4),(S179-R179)-($AB$1-(F179-E179)),IF(AND(S179&lt;&gt;"",D179&lt;$Y$4),(S179-R179)-($AB$1-(F179-E179)+($Z$4-D179)),IF(I179&gt;$Z$8,($AB$1-(F179-E179))+(I179-$Z$8),IF(AND(N179="Sex",(F179-E179)&lt;($AB$1-$W$1)),($AB$1-(F179-E179)),IF(AND(O179&gt;($AB$1-$W$1),D179&gt;$Z$4),"",IF(AND(B179&gt;=$T$1,(F179-E179)&gt;($AB$1-$W$1)),"",IF(AND(D179&gt;=$Y$4,I179=$Z$8,S179=""),($AB$1-(F179-E179)),IF(AND(P179&lt;&gt;"",S179&lt;&gt;""),I179-$Z$8,IF(AND(P179&lt;&gt;"",D179&gt;$Y$4),$AB$1-(F179-E179),"")))))))))))))))))</f>
        <v>0.3118055555555555</v>
      </c>
      <c r="M179" s="107" t="str">
        <f>IFERROR(IF(H179="","",IF(B179=VLOOKUP(B179,Feriados[],2,0),(H179-D179)-(G179-E179),"")),"")</f>
        <v/>
      </c>
      <c r="N179" s="38" t="str">
        <f t="shared" si="13"/>
        <v>Sáb</v>
      </c>
      <c r="O179" s="112">
        <f t="shared" si="14"/>
        <v>2.9861111111111116E-2</v>
      </c>
      <c r="P179" s="113" t="str">
        <f>IF(B179=_xlfn.XLOOKUP(B179,Feriados[FE Oficial],Feriados[FE Talvez],"",0),"",IF(B179&lt;$T$1,"",IF(Q179="Consulta","",IF(Q179="Compensado","",IF(N179="Sáb","",IF(S179&lt;&gt;"",(S179-R179)-(($AB$1-O179)-(D179-$Z$4)),IF(O179&gt;$AB$1,O179-$AB$1,IF(C179&gt;$Z$4,C179-$Z$4,IF(AND(N179="Sex",G179&lt;&gt;"",H179=""),$Z$3-G179,IF(AND(G179&lt;&gt;"",H179=""),$Z$3-G179,IF(AND(N179="Sex",H179&lt;$Y$3),$Z$3-H179,IF(AND(N179&lt;&gt;"Sex",H179&gt;$AA$8),"",IF(AND(N179="Sex",H179&gt;$Z$8),"",IF(AND(N179&lt;&gt;"Sex",I179&gt;$Z$8),$Z$8-H179,IF(AND(N179&lt;&gt;"Sex",H179&lt;$Y$8),$Z$8-H179,"")))))))))))))))</f>
        <v/>
      </c>
      <c r="Q179" s="33"/>
      <c r="R179" s="33"/>
      <c r="S179" s="33"/>
    </row>
    <row r="180" spans="1:19" x14ac:dyDescent="0.25">
      <c r="A180" s="116" t="s">
        <v>194</v>
      </c>
      <c r="B180" s="32">
        <v>43849</v>
      </c>
      <c r="C180" s="39">
        <f t="shared" si="10"/>
        <v>0.33333333333333331</v>
      </c>
      <c r="D180" s="33">
        <v>0.29166666666666669</v>
      </c>
      <c r="E180" s="33">
        <v>0.5</v>
      </c>
      <c r="F180" s="39">
        <f t="shared" si="11"/>
        <v>0.54166666666666663</v>
      </c>
      <c r="G180" s="33">
        <v>0.54166666666666663</v>
      </c>
      <c r="H180" s="33">
        <v>0.66666666666666663</v>
      </c>
      <c r="I180" s="39">
        <f>IFERROR(IF(B180=VLOOKUP(B180,Feriados[],2,0),H180,IF(N180="Sáb",H180,IF(AND(B180&lt;$T$1,H180&lt;=$AA$3),$Z$3,IF(AND(N180="Sex",H180&gt;$AA$3),H180,IF(H180&lt;=$AA$3,$Z$3,IF(H180&lt;=$AA$8,$Z$8,H180)))))),IF(N180="Sáb",H180,IF(AND(B180&lt;$T$1,H180&lt;=$AA$3),$Z$3,IF(AND(N180="Sex",H180&gt;$AA$3),H180,IF(H180&lt;=$AA$3,$Z$3,IF(H180&lt;=$AA$8,$Z$8,H180))))))</f>
        <v>0.66666666666666663</v>
      </c>
      <c r="J180" s="33">
        <f t="shared" si="12"/>
        <v>0.33333333333333331</v>
      </c>
      <c r="K180" s="33">
        <f>IFERROR(IF(H180="","",IF(B180=VLOOKUP(B180,Feriados[],2,0),(H180-D180)-(G180-E180),IF(D180&lt;=$Y$4,(I180-D180)-(G180-E180),(I180-C180)-(F180-E180)))),IF(AND(D180&lt;=$Y$4,F180-E180=$AB$1),(I180-D180)-(F180-E180),IF(D180&lt;$Y$4,(I180-D180)-(G180-E180),(I180-C180)-(F180-E180))))</f>
        <v>0.33333333333333331</v>
      </c>
      <c r="L180" s="40">
        <f>IF(B180=_xlfn.XLOOKUP(B180,Feriados[FE Oficial],Feriados[FE Talvez],"",0),"",IF(Q180="Compensado","",IF(AND(N180="Sex",D180&lt;$Y$4),($Z$4-D180)+$AB$1-(F180-E180)+(I180-$Z$3),IF(AND(N180="Sex",I180&gt;$Z$3),($AB$1-(F180-E180))+(I180-$Z$3),IF(AND(N180="Sex",E180&lt;&gt;"",D180&lt;$Y$4),($Z$4-D180)+$AB$1-(F180-E180)+(I180-$Z$3),IF(N180="Sáb",(I180-D180)-(G180-E180)-(S180-R180),IF(AND(B180&lt;$T$1,I180&gt;$Z$3),H180-$Z$3,IF(D180&lt;$Y$4,($Z$4-D180)+($AB$1-(F180-E180))+(I180-$Z$8)+(S180-R180),IF(AND(S180&lt;&gt;"",D180&gt;$Z$4),(S180-R180)-($AB$1-(F180-E180)),IF(AND(S180&lt;&gt;"",D180&lt;$Y$4),(S180-R180)-($AB$1-(F180-E180)+($Z$4-D180)),IF(I180&gt;$Z$8,($AB$1-(F180-E180))+(I180-$Z$8),IF(AND(N180="Sex",(F180-E180)&lt;($AB$1-$W$1)),($AB$1-(F180-E180)),IF(AND(O180&gt;($AB$1-$W$1),D180&gt;$Z$4),"",IF(AND(B180&gt;=$T$1,(F180-E180)&gt;($AB$1-$W$1)),"",IF(AND(D180&gt;=$Y$4,I180=$Z$8,S180=""),($AB$1-(F180-E180)),IF(AND(P180&lt;&gt;"",S180&lt;&gt;""),I180-$Z$8,IF(AND(P180&lt;&gt;"",D180&gt;$Y$4),$AB$1-(F180-E180),"")))))))))))))))))</f>
        <v>0.33333333333333331</v>
      </c>
      <c r="M180" s="107" t="str">
        <f>IFERROR(IF(H180="","",IF(B180=VLOOKUP(B180,Feriados[],2,0),(H180-D180)-(G180-E180),"")),"")</f>
        <v/>
      </c>
      <c r="N180" s="38" t="str">
        <f t="shared" si="13"/>
        <v>Sáb</v>
      </c>
      <c r="O180" s="112">
        <f t="shared" si="14"/>
        <v>4.166666666666663E-2</v>
      </c>
      <c r="P180" s="113" t="str">
        <f>IF(B180=_xlfn.XLOOKUP(B180,Feriados[FE Oficial],Feriados[FE Talvez],"",0),"",IF(B180&lt;$T$1,"",IF(Q180="Consulta","",IF(Q180="Compensado","",IF(N180="Sáb","",IF(S180&lt;&gt;"",(S180-R180)-(($AB$1-O180)-(D180-$Z$4)),IF(O180&gt;$AB$1,O180-$AB$1,IF(C180&gt;$Z$4,C180-$Z$4,IF(AND(N180="Sex",G180&lt;&gt;"",H180=""),$Z$3-G180,IF(AND(G180&lt;&gt;"",H180=""),$Z$3-G180,IF(AND(N180="Sex",H180&lt;$Y$3),$Z$3-H180,IF(AND(N180&lt;&gt;"Sex",H180&gt;$AA$8),"",IF(AND(N180="Sex",H180&gt;$Z$8),"",IF(AND(N180&lt;&gt;"Sex",I180&gt;$Z$8),$Z$8-H180,IF(AND(N180&lt;&gt;"Sex",H180&lt;$Y$8),$Z$8-H180,"")))))))))))))))</f>
        <v/>
      </c>
      <c r="Q180" s="33"/>
      <c r="R180" s="33"/>
      <c r="S180" s="33"/>
    </row>
    <row r="181" spans="1:19" x14ac:dyDescent="0.25">
      <c r="A181" s="116" t="s">
        <v>175</v>
      </c>
      <c r="B181" s="32">
        <v>43851</v>
      </c>
      <c r="C181" s="39">
        <f t="shared" si="10"/>
        <v>0.33333333333333331</v>
      </c>
      <c r="D181" s="33">
        <v>0.32500000000000001</v>
      </c>
      <c r="E181" s="33">
        <v>0.5</v>
      </c>
      <c r="F181" s="39">
        <f t="shared" si="11"/>
        <v>0.54166666666666663</v>
      </c>
      <c r="G181" s="33">
        <v>0.54166666666666663</v>
      </c>
      <c r="H181" s="33">
        <v>0.75</v>
      </c>
      <c r="I181" s="39">
        <f>IFERROR(IF(B181=VLOOKUP(B181,Feriados[],2,0),H181,IF(N181="Sáb",H181,IF(AND(B181&lt;$T$1,H181&lt;=$AA$3),$Z$3,IF(AND(N181="Sex",H181&gt;$AA$3),H181,IF(H181&lt;=$AA$3,$Z$3,IF(H181&lt;=$AA$8,$Z$8,H181)))))),IF(N181="Sáb",H181,IF(AND(B181&lt;$T$1,H181&lt;=$AA$3),$Z$3,IF(AND(N181="Sex",H181&gt;$AA$3),H181,IF(H181&lt;=$AA$3,$Z$3,IF(H181&lt;=$AA$8,$Z$8,H181))))))</f>
        <v>0.75</v>
      </c>
      <c r="J181" s="33">
        <f t="shared" si="12"/>
        <v>0.375</v>
      </c>
      <c r="K181" s="33">
        <f>IFERROR(IF(H181="","",IF(B181=VLOOKUP(B181,Feriados[],2,0),(H181-D181)-(G181-E181),IF(D181&lt;=$Y$4,(I181-D181)-(G181-E181),(I181-C181)-(F181-E181)))),IF(AND(D181&lt;=$Y$4,F181-E181=$AB$1),(I181-D181)-(F181-E181),IF(D181&lt;$Y$4,(I181-D181)-(G181-E181),(I181-C181)-(F181-E181))))</f>
        <v>0.38333333333333336</v>
      </c>
      <c r="L181" s="40">
        <f>IF(B181=_xlfn.XLOOKUP(B181,Feriados[FE Oficial],Feriados[FE Talvez],"",0),"",IF(Q181="Compensado","",IF(AND(N181="Sex",D181&lt;$Y$4),($Z$4-D181)+$AB$1-(F181-E181)+(I181-$Z$3),IF(AND(N181="Sex",I181&gt;$Z$3),($AB$1-(F181-E181))+(I181-$Z$3),IF(AND(N181="Sex",E181&lt;&gt;"",D181&lt;$Y$4),($Z$4-D181)+$AB$1-(F181-E181)+(I181-$Z$3),IF(N181="Sáb",(I181-D181)-(G181-E181)-(S181-R181),IF(AND(B181&lt;$T$1,I181&gt;$Z$3),H181-$Z$3,IF(D181&lt;$Y$4,($Z$4-D181)+($AB$1-(F181-E181))+(I181-$Z$8)+(S181-R181),IF(AND(S181&lt;&gt;"",D181&gt;$Z$4),(S181-R181)-($AB$1-(F181-E181)),IF(AND(S181&lt;&gt;"",D181&lt;$Y$4),(S181-R181)-($AB$1-(F181-E181)+($Z$4-D181)),IF(I181&gt;$Z$8,($AB$1-(F181-E181))+(I181-$Z$8),IF(AND(N181="Sex",(F181-E181)&lt;($AB$1-$W$1)),($AB$1-(F181-E181)),IF(AND(O181&gt;($AB$1-$W$1),D181&gt;$Z$4),"",IF(AND(B181&gt;=$T$1,(F181-E181)&gt;($AB$1-$W$1)),"",IF(AND(D181&gt;=$Y$4,I181=$Z$8,S181=""),($AB$1-(F181-E181)),IF(AND(P181&lt;&gt;"",S181&lt;&gt;""),I181-$Z$8,IF(AND(P181&lt;&gt;"",D181&gt;$Y$4),$AB$1-(F181-E181),"")))))))))))))))))</f>
        <v>8.3333333333333384E-3</v>
      </c>
      <c r="M181" s="107" t="str">
        <f>IFERROR(IF(H181="","",IF(B181=VLOOKUP(B181,Feriados[],2,0),(H181-D181)-(G181-E181),"")),"")</f>
        <v/>
      </c>
      <c r="N181" s="38" t="str">
        <f t="shared" si="13"/>
        <v>Seg</v>
      </c>
      <c r="O181" s="112">
        <f t="shared" si="14"/>
        <v>4.166666666666663E-2</v>
      </c>
      <c r="P181" s="113" t="str">
        <f>IF(B181=_xlfn.XLOOKUP(B181,Feriados[FE Oficial],Feriados[FE Talvez],"",0),"",IF(B181&lt;$T$1,"",IF(Q181="Consulta","",IF(Q181="Compensado","",IF(N181="Sáb","",IF(S181&lt;&gt;"",(S181-R181)-(($AB$1-O181)-(D181-$Z$4)),IF(O181&gt;$AB$1,O181-$AB$1,IF(C181&gt;$Z$4,C181-$Z$4,IF(AND(N181="Sex",G181&lt;&gt;"",H181=""),$Z$3-G181,IF(AND(G181&lt;&gt;"",H181=""),$Z$3-G181,IF(AND(N181="Sex",H181&lt;$Y$3),$Z$3-H181,IF(AND(N181&lt;&gt;"Sex",H181&gt;$AA$8),"",IF(AND(N181="Sex",H181&gt;$Z$8),"",IF(AND(N181&lt;&gt;"Sex",I181&gt;$Z$8),$Z$8-H181,IF(AND(N181&lt;&gt;"Sex",H181&lt;$Y$8),$Z$8-H181,"")))))))))))))))</f>
        <v/>
      </c>
      <c r="Q181" s="33"/>
      <c r="R181" s="33"/>
      <c r="S181" s="33"/>
    </row>
    <row r="182" spans="1:19" x14ac:dyDescent="0.25">
      <c r="A182" s="116" t="s">
        <v>190</v>
      </c>
      <c r="B182" s="32">
        <v>43851</v>
      </c>
      <c r="C182" s="39">
        <f t="shared" si="10"/>
        <v>0.33333333333333331</v>
      </c>
      <c r="D182" s="33">
        <v>0.32569444444444445</v>
      </c>
      <c r="E182" s="33">
        <v>0.48819444444444443</v>
      </c>
      <c r="F182" s="39">
        <f t="shared" si="11"/>
        <v>0.52083333333333337</v>
      </c>
      <c r="G182" s="33">
        <v>0.52083333333333337</v>
      </c>
      <c r="H182" s="33">
        <v>0.75</v>
      </c>
      <c r="I182" s="39">
        <f>IFERROR(IF(B182=VLOOKUP(B182,Feriados[],2,0),H182,IF(N182="Sáb",H182,IF(AND(B182&lt;$T$1,H182&lt;=$AA$3),$Z$3,IF(AND(N182="Sex",H182&gt;$AA$3),H182,IF(H182&lt;=$AA$3,$Z$3,IF(H182&lt;=$AA$8,$Z$8,H182)))))),IF(N182="Sáb",H182,IF(AND(B182&lt;$T$1,H182&lt;=$AA$3),$Z$3,IF(AND(N182="Sex",H182&gt;$AA$3),H182,IF(H182&lt;=$AA$3,$Z$3,IF(H182&lt;=$AA$8,$Z$8,H182))))))</f>
        <v>0.75</v>
      </c>
      <c r="J182" s="33">
        <f t="shared" si="12"/>
        <v>0.375</v>
      </c>
      <c r="K182" s="33">
        <f>IFERROR(IF(H182="","",IF(B182=VLOOKUP(B182,Feriados[],2,0),(H182-D182)-(G182-E182),IF(D182&lt;=$Y$4,(I182-D182)-(G182-E182),(I182-C182)-(F182-E182)))),IF(AND(D182&lt;=$Y$4,F182-E182=$AB$1),(I182-D182)-(F182-E182),IF(D182&lt;$Y$4,(I182-D182)-(G182-E182),(I182-C182)-(F182-E182))))</f>
        <v>0.39166666666666661</v>
      </c>
      <c r="L182" s="40">
        <f>IF(B182=_xlfn.XLOOKUP(B182,Feriados[FE Oficial],Feriados[FE Talvez],"",0),"",IF(Q182="Compensado","",IF(AND(N182="Sex",D182&lt;$Y$4),($Z$4-D182)+$AB$1-(F182-E182)+(I182-$Z$3),IF(AND(N182="Sex",I182&gt;$Z$3),($AB$1-(F182-E182))+(I182-$Z$3),IF(AND(N182="Sex",E182&lt;&gt;"",D182&lt;$Y$4),($Z$4-D182)+$AB$1-(F182-E182)+(I182-$Z$3),IF(N182="Sáb",(I182-D182)-(G182-E182)-(S182-R182),IF(AND(B182&lt;$T$1,I182&gt;$Z$3),H182-$Z$3,IF(D182&lt;$Y$4,($Z$4-D182)+($AB$1-(F182-E182))+(I182-$Z$8)+(S182-R182),IF(AND(S182&lt;&gt;"",D182&gt;$Z$4),(S182-R182)-($AB$1-(F182-E182)),IF(AND(S182&lt;&gt;"",D182&lt;$Y$4),(S182-R182)-($AB$1-(F182-E182)+($Z$4-D182)),IF(I182&gt;$Z$8,($AB$1-(F182-E182))+(I182-$Z$8),IF(AND(N182="Sex",(F182-E182)&lt;($AB$1-$W$1)),($AB$1-(F182-E182)),IF(AND(O182&gt;($AB$1-$W$1),D182&gt;$Z$4),"",IF(AND(B182&gt;=$T$1,(F182-E182)&gt;($AB$1-$W$1)),"",IF(AND(D182&gt;=$Y$4,I182=$Z$8,S182=""),($AB$1-(F182-E182)),IF(AND(P182&lt;&gt;"",S182&lt;&gt;""),I182-$Z$8,IF(AND(P182&lt;&gt;"",D182&gt;$Y$4),$AB$1-(F182-E182),"")))))))))))))))))</f>
        <v>1.6666666666666587E-2</v>
      </c>
      <c r="M182" s="107" t="str">
        <f>IFERROR(IF(H182="","",IF(B182=VLOOKUP(B182,Feriados[],2,0),(H182-D182)-(G182-E182),"")),"")</f>
        <v/>
      </c>
      <c r="N182" s="38" t="str">
        <f t="shared" si="13"/>
        <v>Seg</v>
      </c>
      <c r="O182" s="112">
        <f t="shared" si="14"/>
        <v>3.2638888888888939E-2</v>
      </c>
      <c r="P182" s="113" t="str">
        <f>IF(B182=_xlfn.XLOOKUP(B182,Feriados[FE Oficial],Feriados[FE Talvez],"",0),"",IF(B182&lt;$T$1,"",IF(Q182="Consulta","",IF(Q182="Compensado","",IF(N182="Sáb","",IF(S182&lt;&gt;"",(S182-R182)-(($AB$1-O182)-(D182-$Z$4)),IF(O182&gt;$AB$1,O182-$AB$1,IF(C182&gt;$Z$4,C182-$Z$4,IF(AND(N182="Sex",G182&lt;&gt;"",H182=""),$Z$3-G182,IF(AND(G182&lt;&gt;"",H182=""),$Z$3-G182,IF(AND(N182="Sex",H182&lt;$Y$3),$Z$3-H182,IF(AND(N182&lt;&gt;"Sex",H182&gt;$AA$8),"",IF(AND(N182="Sex",H182&gt;$Z$8),"",IF(AND(N182&lt;&gt;"Sex",I182&gt;$Z$8),$Z$8-H182,IF(AND(N182&lt;&gt;"Sex",H182&lt;$Y$8),$Z$8-H182,"")))))))))))))))</f>
        <v/>
      </c>
      <c r="Q182" s="33"/>
      <c r="R182" s="33"/>
      <c r="S182" s="33"/>
    </row>
    <row r="183" spans="1:19" x14ac:dyDescent="0.25">
      <c r="A183" s="116" t="s">
        <v>194</v>
      </c>
      <c r="B183" s="32">
        <v>43851</v>
      </c>
      <c r="C183" s="39">
        <f t="shared" si="10"/>
        <v>0.33333333333333331</v>
      </c>
      <c r="D183" s="33">
        <v>0.29166666666666669</v>
      </c>
      <c r="E183" s="33">
        <v>0.5</v>
      </c>
      <c r="F183" s="39">
        <f t="shared" si="11"/>
        <v>0.54166666666666663</v>
      </c>
      <c r="G183" s="33">
        <v>0.54166666666666663</v>
      </c>
      <c r="H183" s="33">
        <v>0.75</v>
      </c>
      <c r="I183" s="39">
        <f>IFERROR(IF(B183=VLOOKUP(B183,Feriados[],2,0),H183,IF(N183="Sáb",H183,IF(AND(B183&lt;$T$1,H183&lt;=$AA$3),$Z$3,IF(AND(N183="Sex",H183&gt;$AA$3),H183,IF(H183&lt;=$AA$3,$Z$3,IF(H183&lt;=$AA$8,$Z$8,H183)))))),IF(N183="Sáb",H183,IF(AND(B183&lt;$T$1,H183&lt;=$AA$3),$Z$3,IF(AND(N183="Sex",H183&gt;$AA$3),H183,IF(H183&lt;=$AA$3,$Z$3,IF(H183&lt;=$AA$8,$Z$8,H183))))))</f>
        <v>0.75</v>
      </c>
      <c r="J183" s="33">
        <f t="shared" si="12"/>
        <v>0.375</v>
      </c>
      <c r="K183" s="33">
        <f>IFERROR(IF(H183="","",IF(B183=VLOOKUP(B183,Feriados[],2,0),(H183-D183)-(G183-E183),IF(D183&lt;=$Y$4,(I183-D183)-(G183-E183),(I183-C183)-(F183-E183)))),IF(AND(D183&lt;=$Y$4,F183-E183=$AB$1),(I183-D183)-(F183-E183),IF(D183&lt;$Y$4,(I183-D183)-(G183-E183),(I183-C183)-(F183-E183))))</f>
        <v>0.41666666666666669</v>
      </c>
      <c r="L183" s="40">
        <f>IF(B183=_xlfn.XLOOKUP(B183,Feriados[FE Oficial],Feriados[FE Talvez],"",0),"",IF(Q183="Compensado","",IF(AND(N183="Sex",D183&lt;$Y$4),($Z$4-D183)+$AB$1-(F183-E183)+(I183-$Z$3),IF(AND(N183="Sex",I183&gt;$Z$3),($AB$1-(F183-E183))+(I183-$Z$3),IF(AND(N183="Sex",E183&lt;&gt;"",D183&lt;$Y$4),($Z$4-D183)+$AB$1-(F183-E183)+(I183-$Z$3),IF(N183="Sáb",(I183-D183)-(G183-E183)-(S183-R183),IF(AND(B183&lt;$T$1,I183&gt;$Z$3),H183-$Z$3,IF(D183&lt;$Y$4,($Z$4-D183)+($AB$1-(F183-E183))+(I183-$Z$8)+(S183-R183),IF(AND(S183&lt;&gt;"",D183&gt;$Z$4),(S183-R183)-($AB$1-(F183-E183)),IF(AND(S183&lt;&gt;"",D183&lt;$Y$4),(S183-R183)-($AB$1-(F183-E183)+($Z$4-D183)),IF(I183&gt;$Z$8,($AB$1-(F183-E183))+(I183-$Z$8),IF(AND(N183="Sex",(F183-E183)&lt;($AB$1-$W$1)),($AB$1-(F183-E183)),IF(AND(O183&gt;($AB$1-$W$1),D183&gt;$Z$4),"",IF(AND(B183&gt;=$T$1,(F183-E183)&gt;($AB$1-$W$1)),"",IF(AND(D183&gt;=$Y$4,I183=$Z$8,S183=""),($AB$1-(F183-E183)),IF(AND(P183&lt;&gt;"",S183&lt;&gt;""),I183-$Z$8,IF(AND(P183&lt;&gt;"",D183&gt;$Y$4),$AB$1-(F183-E183),"")))))))))))))))))</f>
        <v>4.1666666666666664E-2</v>
      </c>
      <c r="M183" s="107" t="str">
        <f>IFERROR(IF(H183="","",IF(B183=VLOOKUP(B183,Feriados[],2,0),(H183-D183)-(G183-E183),"")),"")</f>
        <v/>
      </c>
      <c r="N183" s="38" t="str">
        <f t="shared" si="13"/>
        <v>Seg</v>
      </c>
      <c r="O183" s="112">
        <f t="shared" si="14"/>
        <v>4.166666666666663E-2</v>
      </c>
      <c r="P183" s="113" t="str">
        <f>IF(B183=_xlfn.XLOOKUP(B183,Feriados[FE Oficial],Feriados[FE Talvez],"",0),"",IF(B183&lt;$T$1,"",IF(Q183="Consulta","",IF(Q183="Compensado","",IF(N183="Sáb","",IF(S183&lt;&gt;"",(S183-R183)-(($AB$1-O183)-(D183-$Z$4)),IF(O183&gt;$AB$1,O183-$AB$1,IF(C183&gt;$Z$4,C183-$Z$4,IF(AND(N183="Sex",G183&lt;&gt;"",H183=""),$Z$3-G183,IF(AND(G183&lt;&gt;"",H183=""),$Z$3-G183,IF(AND(N183="Sex",H183&lt;$Y$3),$Z$3-H183,IF(AND(N183&lt;&gt;"Sex",H183&gt;$AA$8),"",IF(AND(N183="Sex",H183&gt;$Z$8),"",IF(AND(N183&lt;&gt;"Sex",I183&gt;$Z$8),$Z$8-H183,IF(AND(N183&lt;&gt;"Sex",H183&lt;$Y$8),$Z$8-H183,"")))))))))))))))</f>
        <v/>
      </c>
      <c r="Q183" s="33"/>
      <c r="R183" s="33"/>
      <c r="S183" s="33"/>
    </row>
    <row r="184" spans="1:19" x14ac:dyDescent="0.25">
      <c r="A184" s="117" t="s">
        <v>197</v>
      </c>
      <c r="B184" s="32">
        <v>43851</v>
      </c>
      <c r="C184" s="39">
        <f t="shared" si="10"/>
        <v>0.33333333333333331</v>
      </c>
      <c r="D184" s="33">
        <v>0.33333333333333331</v>
      </c>
      <c r="E184" s="33">
        <v>0.48819444444444443</v>
      </c>
      <c r="F184" s="39">
        <f t="shared" si="11"/>
        <v>0.52083333333333337</v>
      </c>
      <c r="G184" s="33">
        <v>0.52083333333333337</v>
      </c>
      <c r="H184" s="33">
        <v>0.75</v>
      </c>
      <c r="I184" s="39">
        <f>IFERROR(IF(B184=VLOOKUP(B184,Feriados[],2,0),H184,IF(N184="Sáb",H184,IF(AND(B184&lt;$T$1,H184&lt;=$AA$3),$Z$3,IF(AND(N184="Sex",H184&gt;$AA$3),H184,IF(H184&lt;=$AA$3,$Z$3,IF(H184&lt;=$AA$8,$Z$8,H184)))))),IF(N184="Sáb",H184,IF(AND(B184&lt;$T$1,H184&lt;=$AA$3),$Z$3,IF(AND(N184="Sex",H184&gt;$AA$3),H184,IF(H184&lt;=$AA$3,$Z$3,IF(H184&lt;=$AA$8,$Z$8,H184))))))</f>
        <v>0.75</v>
      </c>
      <c r="J184" s="33">
        <f t="shared" si="12"/>
        <v>0.375</v>
      </c>
      <c r="K184" s="33">
        <f>IFERROR(IF(H184="","",IF(B184=VLOOKUP(B184,Feriados[],2,0),(H184-D184)-(G184-E184),IF(D184&lt;=$Y$4,(I184-D184)-(G184-E184),(I184-C184)-(F184-E184)))),IF(AND(D184&lt;=$Y$4,F184-E184=$AB$1),(I184-D184)-(F184-E184),IF(D184&lt;$Y$4,(I184-D184)-(G184-E184),(I184-C184)-(F184-E184))))</f>
        <v>0.38402777777777775</v>
      </c>
      <c r="L184" s="40">
        <f>IF(B184=_xlfn.XLOOKUP(B184,Feriados[FE Oficial],Feriados[FE Talvez],"",0),"",IF(Q184="Compensado","",IF(AND(N184="Sex",D184&lt;$Y$4),($Z$4-D184)+$AB$1-(F184-E184)+(I184-$Z$3),IF(AND(N184="Sex",I184&gt;$Z$3),($AB$1-(F184-E184))+(I184-$Z$3),IF(AND(N184="Sex",E184&lt;&gt;"",D184&lt;$Y$4),($Z$4-D184)+$AB$1-(F184-E184)+(I184-$Z$3),IF(N184="Sáb",(I184-D184)-(G184-E184)-(S184-R184),IF(AND(B184&lt;$T$1,I184&gt;$Z$3),H184-$Z$3,IF(D184&lt;$Y$4,($Z$4-D184)+($AB$1-(F184-E184))+(I184-$Z$8)+(S184-R184),IF(AND(S184&lt;&gt;"",D184&gt;$Z$4),(S184-R184)-($AB$1-(F184-E184)),IF(AND(S184&lt;&gt;"",D184&lt;$Y$4),(S184-R184)-($AB$1-(F184-E184)+($Z$4-D184)),IF(I184&gt;$Z$8,($AB$1-(F184-E184))+(I184-$Z$8),IF(AND(N184="Sex",(F184-E184)&lt;($AB$1-$W$1)),($AB$1-(F184-E184)),IF(AND(O184&gt;($AB$1-$W$1),D184&gt;$Z$4),"",IF(AND(B184&gt;=$T$1,(F184-E184)&gt;($AB$1-$W$1)),"",IF(AND(D184&gt;=$Y$4,I184=$Z$8,S184=""),($AB$1-(F184-E184)),IF(AND(P184&lt;&gt;"",S184&lt;&gt;""),I184-$Z$8,IF(AND(P184&lt;&gt;"",D184&gt;$Y$4),$AB$1-(F184-E184),"")))))))))))))))))</f>
        <v>9.0277777777777249E-3</v>
      </c>
      <c r="M184" s="107" t="str">
        <f>IFERROR(IF(H184="","",IF(B184=VLOOKUP(B184,Feriados[],2,0),(H184-D184)-(G184-E184),"")),"")</f>
        <v/>
      </c>
      <c r="N184" s="38" t="str">
        <f t="shared" si="13"/>
        <v>Seg</v>
      </c>
      <c r="O184" s="112">
        <f t="shared" si="14"/>
        <v>3.2638888888888939E-2</v>
      </c>
      <c r="P184" s="113" t="str">
        <f>IF(B184=_xlfn.XLOOKUP(B184,Feriados[FE Oficial],Feriados[FE Talvez],"",0),"",IF(B184&lt;$T$1,"",IF(Q184="Consulta","",IF(Q184="Compensado","",IF(N184="Sáb","",IF(S184&lt;&gt;"",(S184-R184)-(($AB$1-O184)-(D184-$Z$4)),IF(O184&gt;$AB$1,O184-$AB$1,IF(C184&gt;$Z$4,C184-$Z$4,IF(AND(N184="Sex",G184&lt;&gt;"",H184=""),$Z$3-G184,IF(AND(G184&lt;&gt;"",H184=""),$Z$3-G184,IF(AND(N184="Sex",H184&lt;$Y$3),$Z$3-H184,IF(AND(N184&lt;&gt;"Sex",H184&gt;$AA$8),"",IF(AND(N184="Sex",H184&gt;$Z$8),"",IF(AND(N184&lt;&gt;"Sex",I184&gt;$Z$8),$Z$8-H184,IF(AND(N184&lt;&gt;"Sex",H184&lt;$Y$8),$Z$8-H184,"")))))))))))))))</f>
        <v/>
      </c>
      <c r="Q184" s="33"/>
      <c r="R184" s="33"/>
      <c r="S184" s="33"/>
    </row>
    <row r="185" spans="1:19" x14ac:dyDescent="0.25">
      <c r="A185" s="116" t="s">
        <v>191</v>
      </c>
      <c r="B185" s="32">
        <v>43851</v>
      </c>
      <c r="C185" s="39">
        <f t="shared" si="10"/>
        <v>0.33333333333333331</v>
      </c>
      <c r="D185" s="33">
        <v>0.32500000000000001</v>
      </c>
      <c r="E185" s="33">
        <v>0.5</v>
      </c>
      <c r="F185" s="39">
        <f t="shared" si="11"/>
        <v>0.54166666666666663</v>
      </c>
      <c r="G185" s="33">
        <v>0.54166666666666663</v>
      </c>
      <c r="H185" s="33">
        <v>0.75</v>
      </c>
      <c r="I185" s="39">
        <f>IFERROR(IF(B185=VLOOKUP(B185,Feriados[],2,0),H185,IF(N185="Sáb",H185,IF(AND(B185&lt;$T$1,H185&lt;=$AA$3),$Z$3,IF(AND(N185="Sex",H185&gt;$AA$3),H185,IF(H185&lt;=$AA$3,$Z$3,IF(H185&lt;=$AA$8,$Z$8,H185)))))),IF(N185="Sáb",H185,IF(AND(B185&lt;$T$1,H185&lt;=$AA$3),$Z$3,IF(AND(N185="Sex",H185&gt;$AA$3),H185,IF(H185&lt;=$AA$3,$Z$3,IF(H185&lt;=$AA$8,$Z$8,H185))))))</f>
        <v>0.75</v>
      </c>
      <c r="J185" s="33">
        <f t="shared" si="12"/>
        <v>0.375</v>
      </c>
      <c r="K185" s="33">
        <f>IFERROR(IF(H185="","",IF(B185=VLOOKUP(B185,Feriados[],2,0),(H185-D185)-(G185-E185),IF(D185&lt;=$Y$4,(I185-D185)-(G185-E185),(I185-C185)-(F185-E185)))),IF(AND(D185&lt;=$Y$4,F185-E185=$AB$1),(I185-D185)-(F185-E185),IF(D185&lt;$Y$4,(I185-D185)-(G185-E185),(I185-C185)-(F185-E185))))</f>
        <v>0.38333333333333336</v>
      </c>
      <c r="L185" s="40">
        <f>IF(B185=_xlfn.XLOOKUP(B185,Feriados[FE Oficial],Feriados[FE Talvez],"",0),"",IF(Q185="Compensado","",IF(AND(N185="Sex",D185&lt;$Y$4),($Z$4-D185)+$AB$1-(F185-E185)+(I185-$Z$3),IF(AND(N185="Sex",I185&gt;$Z$3),($AB$1-(F185-E185))+(I185-$Z$3),IF(AND(N185="Sex",E185&lt;&gt;"",D185&lt;$Y$4),($Z$4-D185)+$AB$1-(F185-E185)+(I185-$Z$3),IF(N185="Sáb",(I185-D185)-(G185-E185)-(S185-R185),IF(AND(B185&lt;$T$1,I185&gt;$Z$3),H185-$Z$3,IF(D185&lt;$Y$4,($Z$4-D185)+($AB$1-(F185-E185))+(I185-$Z$8)+(S185-R185),IF(AND(S185&lt;&gt;"",D185&gt;$Z$4),(S185-R185)-($AB$1-(F185-E185)),IF(AND(S185&lt;&gt;"",D185&lt;$Y$4),(S185-R185)-($AB$1-(F185-E185)+($Z$4-D185)),IF(I185&gt;$Z$8,($AB$1-(F185-E185))+(I185-$Z$8),IF(AND(N185="Sex",(F185-E185)&lt;($AB$1-$W$1)),($AB$1-(F185-E185)),IF(AND(O185&gt;($AB$1-$W$1),D185&gt;$Z$4),"",IF(AND(B185&gt;=$T$1,(F185-E185)&gt;($AB$1-$W$1)),"",IF(AND(D185&gt;=$Y$4,I185=$Z$8,S185=""),($AB$1-(F185-E185)),IF(AND(P185&lt;&gt;"",S185&lt;&gt;""),I185-$Z$8,IF(AND(P185&lt;&gt;"",D185&gt;$Y$4),$AB$1-(F185-E185),"")))))))))))))))))</f>
        <v>8.3333333333333384E-3</v>
      </c>
      <c r="M185" s="107" t="str">
        <f>IFERROR(IF(H185="","",IF(B185=VLOOKUP(B185,Feriados[],2,0),(H185-D185)-(G185-E185),"")),"")</f>
        <v/>
      </c>
      <c r="N185" s="38" t="str">
        <f t="shared" si="13"/>
        <v>Seg</v>
      </c>
      <c r="O185" s="112">
        <f t="shared" si="14"/>
        <v>4.166666666666663E-2</v>
      </c>
      <c r="P185" s="113" t="str">
        <f>IF(B185=_xlfn.XLOOKUP(B185,Feriados[FE Oficial],Feriados[FE Talvez],"",0),"",IF(B185&lt;$T$1,"",IF(Q185="Consulta","",IF(Q185="Compensado","",IF(N185="Sáb","",IF(S185&lt;&gt;"",(S185-R185)-(($AB$1-O185)-(D185-$Z$4)),IF(O185&gt;$AB$1,O185-$AB$1,IF(C185&gt;$Z$4,C185-$Z$4,IF(AND(N185="Sex",G185&lt;&gt;"",H185=""),$Z$3-G185,IF(AND(G185&lt;&gt;"",H185=""),$Z$3-G185,IF(AND(N185="Sex",H185&lt;$Y$3),$Z$3-H185,IF(AND(N185&lt;&gt;"Sex",H185&gt;$AA$8),"",IF(AND(N185="Sex",H185&gt;$Z$8),"",IF(AND(N185&lt;&gt;"Sex",I185&gt;$Z$8),$Z$8-H185,IF(AND(N185&lt;&gt;"Sex",H185&lt;$Y$8),$Z$8-H185,"")))))))))))))))</f>
        <v/>
      </c>
      <c r="Q185" s="33"/>
      <c r="R185" s="33"/>
      <c r="S185" s="33"/>
    </row>
    <row r="186" spans="1:19" x14ac:dyDescent="0.25">
      <c r="A186" s="115" t="s">
        <v>198</v>
      </c>
      <c r="B186" s="32">
        <v>43851</v>
      </c>
      <c r="C186" s="39">
        <f t="shared" si="10"/>
        <v>0.33333333333333331</v>
      </c>
      <c r="D186" s="33">
        <v>0.33333333333333331</v>
      </c>
      <c r="E186" s="33">
        <v>0.5</v>
      </c>
      <c r="F186" s="39">
        <f t="shared" si="11"/>
        <v>0.54166666666666663</v>
      </c>
      <c r="G186" s="33">
        <v>0.54166666666666663</v>
      </c>
      <c r="H186" s="33">
        <v>0.75</v>
      </c>
      <c r="I186" s="39">
        <f>IFERROR(IF(B186=VLOOKUP(B186,Feriados[],2,0),H186,IF(N186="Sáb",H186,IF(AND(B186&lt;$T$1,H186&lt;=$AA$3),$Z$3,IF(AND(N186="Sex",H186&gt;$AA$3),H186,IF(H186&lt;=$AA$3,$Z$3,IF(H186&lt;=$AA$8,$Z$8,H186)))))),IF(N186="Sáb",H186,IF(AND(B186&lt;$T$1,H186&lt;=$AA$3),$Z$3,IF(AND(N186="Sex",H186&gt;$AA$3),H186,IF(H186&lt;=$AA$3,$Z$3,IF(H186&lt;=$AA$8,$Z$8,H186))))))</f>
        <v>0.75</v>
      </c>
      <c r="J186" s="33">
        <f t="shared" si="12"/>
        <v>0.37500000000000006</v>
      </c>
      <c r="K186" s="33">
        <f>IFERROR(IF(H186="","",IF(B186=VLOOKUP(B186,Feriados[],2,0),(H186-D186)-(G186-E186),IF(D186&lt;=$Y$4,(I186-D186)-(G186-E186),(I186-C186)-(F186-E186)))),IF(AND(D186&lt;=$Y$4,F186-E186=$AB$1),(I186-D186)-(F186-E186),IF(D186&lt;$Y$4,(I186-D186)-(G186-E186),(I186-C186)-(F186-E186))))</f>
        <v>0.37500000000000006</v>
      </c>
      <c r="L186" s="40" t="str">
        <f>IF(B186=_xlfn.XLOOKUP(B186,Feriados[FE Oficial],Feriados[FE Talvez],"",0),"",IF(Q186="Compensado","",IF(AND(N186="Sex",D186&lt;$Y$4),($Z$4-D186)+$AB$1-(F186-E186)+(I186-$Z$3),IF(AND(N186="Sex",I186&gt;$Z$3),($AB$1-(F186-E186))+(I186-$Z$3),IF(AND(N186="Sex",E186&lt;&gt;"",D186&lt;$Y$4),($Z$4-D186)+$AB$1-(F186-E186)+(I186-$Z$3),IF(N186="Sáb",(I186-D186)-(G186-E186)-(S186-R186),IF(AND(B186&lt;$T$1,I186&gt;$Z$3),H186-$Z$3,IF(D186&lt;$Y$4,($Z$4-D186)+($AB$1-(F186-E186))+(I186-$Z$8)+(S186-R186),IF(AND(S186&lt;&gt;"",D186&gt;$Z$4),(S186-R186)-($AB$1-(F186-E186)),IF(AND(S186&lt;&gt;"",D186&lt;$Y$4),(S186-R186)-($AB$1-(F186-E186)+($Z$4-D186)),IF(I186&gt;$Z$8,($AB$1-(F186-E186))+(I186-$Z$8),IF(AND(N186="Sex",(F186-E186)&lt;($AB$1-$W$1)),($AB$1-(F186-E186)),IF(AND(O186&gt;($AB$1-$W$1),D186&gt;$Z$4),"",IF(AND(B186&gt;=$T$1,(F186-E186)&gt;($AB$1-$W$1)),"",IF(AND(D186&gt;=$Y$4,I186=$Z$8,S186=""),($AB$1-(F186-E186)),IF(AND(P186&lt;&gt;"",S186&lt;&gt;""),I186-$Z$8,IF(AND(P186&lt;&gt;"",D186&gt;$Y$4),$AB$1-(F186-E186),"")))))))))))))))))</f>
        <v/>
      </c>
      <c r="M186" s="107" t="str">
        <f>IFERROR(IF(H186="","",IF(B186=VLOOKUP(B186,Feriados[],2,0),(H186-D186)-(G186-E186),"")),"")</f>
        <v/>
      </c>
      <c r="N186" s="38" t="str">
        <f t="shared" si="13"/>
        <v>Seg</v>
      </c>
      <c r="O186" s="112">
        <f t="shared" si="14"/>
        <v>4.166666666666663E-2</v>
      </c>
      <c r="P186" s="113" t="str">
        <f>IF(B186=_xlfn.XLOOKUP(B186,Feriados[FE Oficial],Feriados[FE Talvez],"",0),"",IF(B186&lt;$T$1,"",IF(Q186="Consulta","",IF(Q186="Compensado","",IF(N186="Sáb","",IF(S186&lt;&gt;"",(S186-R186)-(($AB$1-O186)-(D186-$Z$4)),IF(O186&gt;$AB$1,O186-$AB$1,IF(C186&gt;$Z$4,C186-$Z$4,IF(AND(N186="Sex",G186&lt;&gt;"",H186=""),$Z$3-G186,IF(AND(G186&lt;&gt;"",H186=""),$Z$3-G186,IF(AND(N186="Sex",H186&lt;$Y$3),$Z$3-H186,IF(AND(N186&lt;&gt;"Sex",H186&gt;$AA$8),"",IF(AND(N186="Sex",H186&gt;$Z$8),"",IF(AND(N186&lt;&gt;"Sex",I186&gt;$Z$8),$Z$8-H186,IF(AND(N186&lt;&gt;"Sex",H186&lt;$Y$8),$Z$8-H186,"")))))))))))))))</f>
        <v/>
      </c>
      <c r="Q186" s="33"/>
      <c r="R186" s="33"/>
      <c r="S186" s="33"/>
    </row>
    <row r="187" spans="1:19" x14ac:dyDescent="0.25">
      <c r="A187" s="115" t="s">
        <v>199</v>
      </c>
      <c r="B187" s="32">
        <v>43851</v>
      </c>
      <c r="C187" s="39">
        <f t="shared" si="10"/>
        <v>0.33333333333333331</v>
      </c>
      <c r="D187" s="33">
        <v>0.33333333333333331</v>
      </c>
      <c r="E187" s="33">
        <v>0.5</v>
      </c>
      <c r="F187" s="39">
        <f t="shared" si="11"/>
        <v>0.54166666666666663</v>
      </c>
      <c r="G187" s="33">
        <v>0.54166666666666663</v>
      </c>
      <c r="H187" s="33">
        <v>0.75</v>
      </c>
      <c r="I187" s="39">
        <f>IFERROR(IF(B187=VLOOKUP(B187,Feriados[],2,0),H187,IF(N187="Sáb",H187,IF(AND(B187&lt;$T$1,H187&lt;=$AA$3),$Z$3,IF(AND(N187="Sex",H187&gt;$AA$3),H187,IF(H187&lt;=$AA$3,$Z$3,IF(H187&lt;=$AA$8,$Z$8,H187)))))),IF(N187="Sáb",H187,IF(AND(B187&lt;$T$1,H187&lt;=$AA$3),$Z$3,IF(AND(N187="Sex",H187&gt;$AA$3),H187,IF(H187&lt;=$AA$3,$Z$3,IF(H187&lt;=$AA$8,$Z$8,H187))))))</f>
        <v>0.75</v>
      </c>
      <c r="J187" s="33">
        <f t="shared" si="12"/>
        <v>0.37500000000000006</v>
      </c>
      <c r="K187" s="33">
        <f>IFERROR(IF(H187="","",IF(B187=VLOOKUP(B187,Feriados[],2,0),(H187-D187)-(G187-E187),IF(D187&lt;=$Y$4,(I187-D187)-(G187-E187),(I187-C187)-(F187-E187)))),IF(AND(D187&lt;=$Y$4,F187-E187=$AB$1),(I187-D187)-(F187-E187),IF(D187&lt;$Y$4,(I187-D187)-(G187-E187),(I187-C187)-(F187-E187))))</f>
        <v>0.37500000000000006</v>
      </c>
      <c r="L187" s="40" t="str">
        <f>IF(B187=_xlfn.XLOOKUP(B187,Feriados[FE Oficial],Feriados[FE Talvez],"",0),"",IF(Q187="Compensado","",IF(AND(N187="Sex",D187&lt;$Y$4),($Z$4-D187)+$AB$1-(F187-E187)+(I187-$Z$3),IF(AND(N187="Sex",I187&gt;$Z$3),($AB$1-(F187-E187))+(I187-$Z$3),IF(AND(N187="Sex",E187&lt;&gt;"",D187&lt;$Y$4),($Z$4-D187)+$AB$1-(F187-E187)+(I187-$Z$3),IF(N187="Sáb",(I187-D187)-(G187-E187)-(S187-R187),IF(AND(B187&lt;$T$1,I187&gt;$Z$3),H187-$Z$3,IF(D187&lt;$Y$4,($Z$4-D187)+($AB$1-(F187-E187))+(I187-$Z$8)+(S187-R187),IF(AND(S187&lt;&gt;"",D187&gt;$Z$4),(S187-R187)-($AB$1-(F187-E187)),IF(AND(S187&lt;&gt;"",D187&lt;$Y$4),(S187-R187)-($AB$1-(F187-E187)+($Z$4-D187)),IF(I187&gt;$Z$8,($AB$1-(F187-E187))+(I187-$Z$8),IF(AND(N187="Sex",(F187-E187)&lt;($AB$1-$W$1)),($AB$1-(F187-E187)),IF(AND(O187&gt;($AB$1-$W$1),D187&gt;$Z$4),"",IF(AND(B187&gt;=$T$1,(F187-E187)&gt;($AB$1-$W$1)),"",IF(AND(D187&gt;=$Y$4,I187=$Z$8,S187=""),($AB$1-(F187-E187)),IF(AND(P187&lt;&gt;"",S187&lt;&gt;""),I187-$Z$8,IF(AND(P187&lt;&gt;"",D187&gt;$Y$4),$AB$1-(F187-E187),"")))))))))))))))))</f>
        <v/>
      </c>
      <c r="M187" s="107" t="str">
        <f>IFERROR(IF(H187="","",IF(B187=VLOOKUP(B187,Feriados[],2,0),(H187-D187)-(G187-E187),"")),"")</f>
        <v/>
      </c>
      <c r="N187" s="38" t="str">
        <f t="shared" si="13"/>
        <v>Seg</v>
      </c>
      <c r="O187" s="112">
        <f t="shared" si="14"/>
        <v>4.166666666666663E-2</v>
      </c>
      <c r="P187" s="113" t="str">
        <f>IF(B187=_xlfn.XLOOKUP(B187,Feriados[FE Oficial],Feriados[FE Talvez],"",0),"",IF(B187&lt;$T$1,"",IF(Q187="Consulta","",IF(Q187="Compensado","",IF(N187="Sáb","",IF(S187&lt;&gt;"",(S187-R187)-(($AB$1-O187)-(D187-$Z$4)),IF(O187&gt;$AB$1,O187-$AB$1,IF(C187&gt;$Z$4,C187-$Z$4,IF(AND(N187="Sex",G187&lt;&gt;"",H187=""),$Z$3-G187,IF(AND(G187&lt;&gt;"",H187=""),$Z$3-G187,IF(AND(N187="Sex",H187&lt;$Y$3),$Z$3-H187,IF(AND(N187&lt;&gt;"Sex",H187&gt;$AA$8),"",IF(AND(N187="Sex",H187&gt;$Z$8),"",IF(AND(N187&lt;&gt;"Sex",I187&gt;$Z$8),$Z$8-H187,IF(AND(N187&lt;&gt;"Sex",H187&lt;$Y$8),$Z$8-H187,"")))))))))))))))</f>
        <v/>
      </c>
      <c r="Q187" s="33"/>
      <c r="R187" s="33"/>
      <c r="S187" s="33"/>
    </row>
    <row r="188" spans="1:19" x14ac:dyDescent="0.25">
      <c r="A188" s="116" t="s">
        <v>200</v>
      </c>
      <c r="B188" s="32">
        <v>43851</v>
      </c>
      <c r="C188" s="39">
        <f t="shared" si="10"/>
        <v>0.33333333333333331</v>
      </c>
      <c r="D188" s="33">
        <v>0.33333333333333331</v>
      </c>
      <c r="E188" s="33">
        <v>0.5</v>
      </c>
      <c r="F188" s="39">
        <f t="shared" si="11"/>
        <v>0.54166666666666663</v>
      </c>
      <c r="G188" s="33">
        <v>0.54166666666666663</v>
      </c>
      <c r="H188" s="33">
        <v>0.75</v>
      </c>
      <c r="I188" s="39">
        <f>IFERROR(IF(B188=VLOOKUP(B188,Feriados[],2,0),H188,IF(N188="Sáb",H188,IF(AND(B188&lt;$T$1,H188&lt;=$AA$3),$Z$3,IF(AND(N188="Sex",H188&gt;$AA$3),H188,IF(H188&lt;=$AA$3,$Z$3,IF(H188&lt;=$AA$8,$Z$8,H188)))))),IF(N188="Sáb",H188,IF(AND(B188&lt;$T$1,H188&lt;=$AA$3),$Z$3,IF(AND(N188="Sex",H188&gt;$AA$3),H188,IF(H188&lt;=$AA$3,$Z$3,IF(H188&lt;=$AA$8,$Z$8,H188))))))</f>
        <v>0.75</v>
      </c>
      <c r="J188" s="33">
        <f t="shared" si="12"/>
        <v>0.37500000000000006</v>
      </c>
      <c r="K188" s="33">
        <f>IFERROR(IF(H188="","",IF(B188=VLOOKUP(B188,Feriados[],2,0),(H188-D188)-(G188-E188),IF(D188&lt;=$Y$4,(I188-D188)-(G188-E188),(I188-C188)-(F188-E188)))),IF(AND(D188&lt;=$Y$4,F188-E188=$AB$1),(I188-D188)-(F188-E188),IF(D188&lt;$Y$4,(I188-D188)-(G188-E188),(I188-C188)-(F188-E188))))</f>
        <v>0.37500000000000006</v>
      </c>
      <c r="L188" s="40" t="str">
        <f>IF(B188=_xlfn.XLOOKUP(B188,Feriados[FE Oficial],Feriados[FE Talvez],"",0),"",IF(Q188="Compensado","",IF(AND(N188="Sex",D188&lt;$Y$4),($Z$4-D188)+$AB$1-(F188-E188)+(I188-$Z$3),IF(AND(N188="Sex",I188&gt;$Z$3),($AB$1-(F188-E188))+(I188-$Z$3),IF(AND(N188="Sex",E188&lt;&gt;"",D188&lt;$Y$4),($Z$4-D188)+$AB$1-(F188-E188)+(I188-$Z$3),IF(N188="Sáb",(I188-D188)-(G188-E188)-(S188-R188),IF(AND(B188&lt;$T$1,I188&gt;$Z$3),H188-$Z$3,IF(D188&lt;$Y$4,($Z$4-D188)+($AB$1-(F188-E188))+(I188-$Z$8)+(S188-R188),IF(AND(S188&lt;&gt;"",D188&gt;$Z$4),(S188-R188)-($AB$1-(F188-E188)),IF(AND(S188&lt;&gt;"",D188&lt;$Y$4),(S188-R188)-($AB$1-(F188-E188)+($Z$4-D188)),IF(I188&gt;$Z$8,($AB$1-(F188-E188))+(I188-$Z$8),IF(AND(N188="Sex",(F188-E188)&lt;($AB$1-$W$1)),($AB$1-(F188-E188)),IF(AND(O188&gt;($AB$1-$W$1),D188&gt;$Z$4),"",IF(AND(B188&gt;=$T$1,(F188-E188)&gt;($AB$1-$W$1)),"",IF(AND(D188&gt;=$Y$4,I188=$Z$8,S188=""),($AB$1-(F188-E188)),IF(AND(P188&lt;&gt;"",S188&lt;&gt;""),I188-$Z$8,IF(AND(P188&lt;&gt;"",D188&gt;$Y$4),$AB$1-(F188-E188),"")))))))))))))))))</f>
        <v/>
      </c>
      <c r="M188" s="107" t="str">
        <f>IFERROR(IF(H188="","",IF(B188=VLOOKUP(B188,Feriados[],2,0),(H188-D188)-(G188-E188),"")),"")</f>
        <v/>
      </c>
      <c r="N188" s="38" t="str">
        <f t="shared" si="13"/>
        <v>Seg</v>
      </c>
      <c r="O188" s="112">
        <f t="shared" si="14"/>
        <v>4.166666666666663E-2</v>
      </c>
      <c r="P188" s="113" t="str">
        <f>IF(B188=_xlfn.XLOOKUP(B188,Feriados[FE Oficial],Feriados[FE Talvez],"",0),"",IF(B188&lt;$T$1,"",IF(Q188="Consulta","",IF(Q188="Compensado","",IF(N188="Sáb","",IF(S188&lt;&gt;"",(S188-R188)-(($AB$1-O188)-(D188-$Z$4)),IF(O188&gt;$AB$1,O188-$AB$1,IF(C188&gt;$Z$4,C188-$Z$4,IF(AND(N188="Sex",G188&lt;&gt;"",H188=""),$Z$3-G188,IF(AND(G188&lt;&gt;"",H188=""),$Z$3-G188,IF(AND(N188="Sex",H188&lt;$Y$3),$Z$3-H188,IF(AND(N188&lt;&gt;"Sex",H188&gt;$AA$8),"",IF(AND(N188="Sex",H188&gt;$Z$8),"",IF(AND(N188&lt;&gt;"Sex",I188&gt;$Z$8),$Z$8-H188,IF(AND(N188&lt;&gt;"Sex",H188&lt;$Y$8),$Z$8-H188,"")))))))))))))))</f>
        <v/>
      </c>
      <c r="Q188" s="33"/>
      <c r="R188" s="33"/>
      <c r="S188" s="33"/>
    </row>
    <row r="189" spans="1:19" x14ac:dyDescent="0.25">
      <c r="A189" s="116" t="s">
        <v>175</v>
      </c>
      <c r="B189" s="32">
        <v>43852</v>
      </c>
      <c r="C189" s="39">
        <f t="shared" si="10"/>
        <v>0.33333333333333331</v>
      </c>
      <c r="D189" s="33">
        <v>0.32361111111111113</v>
      </c>
      <c r="E189" s="33">
        <v>0.5</v>
      </c>
      <c r="F189" s="39">
        <f t="shared" si="11"/>
        <v>0.54166666666666663</v>
      </c>
      <c r="G189" s="33">
        <v>0.54166666666666663</v>
      </c>
      <c r="H189" s="33">
        <v>0.75</v>
      </c>
      <c r="I189" s="39">
        <f>IFERROR(IF(B189=VLOOKUP(B189,Feriados[],2,0),H189,IF(N189="Sáb",H189,IF(AND(B189&lt;$T$1,H189&lt;=$AA$3),$Z$3,IF(AND(N189="Sex",H189&gt;$AA$3),H189,IF(H189&lt;=$AA$3,$Z$3,IF(H189&lt;=$AA$8,$Z$8,H189)))))),IF(N189="Sáb",H189,IF(AND(B189&lt;$T$1,H189&lt;=$AA$3),$Z$3,IF(AND(N189="Sex",H189&gt;$AA$3),H189,IF(H189&lt;=$AA$3,$Z$3,IF(H189&lt;=$AA$8,$Z$8,H189))))))</f>
        <v>0.75</v>
      </c>
      <c r="J189" s="33">
        <f t="shared" si="12"/>
        <v>0.375</v>
      </c>
      <c r="K189" s="33">
        <f>IFERROR(IF(H189="","",IF(B189=VLOOKUP(B189,Feriados[],2,0),(H189-D189)-(G189-E189),IF(D189&lt;=$Y$4,(I189-D189)-(G189-E189),(I189-C189)-(F189-E189)))),IF(AND(D189&lt;=$Y$4,F189-E189=$AB$1),(I189-D189)-(F189-E189),IF(D189&lt;$Y$4,(I189-D189)-(G189-E189),(I189-C189)-(F189-E189))))</f>
        <v>0.38472222222222224</v>
      </c>
      <c r="L189" s="40">
        <f>IF(B189=_xlfn.XLOOKUP(B189,Feriados[FE Oficial],Feriados[FE Talvez],"",0),"",IF(Q189="Compensado","",IF(AND(N189="Sex",D189&lt;$Y$4),($Z$4-D189)+$AB$1-(F189-E189)+(I189-$Z$3),IF(AND(N189="Sex",I189&gt;$Z$3),($AB$1-(F189-E189))+(I189-$Z$3),IF(AND(N189="Sex",E189&lt;&gt;"",D189&lt;$Y$4),($Z$4-D189)+$AB$1-(F189-E189)+(I189-$Z$3),IF(N189="Sáb",(I189-D189)-(G189-E189)-(S189-R189),IF(AND(B189&lt;$T$1,I189&gt;$Z$3),H189-$Z$3,IF(D189&lt;$Y$4,($Z$4-D189)+($AB$1-(F189-E189))+(I189-$Z$8)+(S189-R189),IF(AND(S189&lt;&gt;"",D189&gt;$Z$4),(S189-R189)-($AB$1-(F189-E189)),IF(AND(S189&lt;&gt;"",D189&lt;$Y$4),(S189-R189)-($AB$1-(F189-E189)+($Z$4-D189)),IF(I189&gt;$Z$8,($AB$1-(F189-E189))+(I189-$Z$8),IF(AND(N189="Sex",(F189-E189)&lt;($AB$1-$W$1)),($AB$1-(F189-E189)),IF(AND(O189&gt;($AB$1-$W$1),D189&gt;$Z$4),"",IF(AND(B189&gt;=$T$1,(F189-E189)&gt;($AB$1-$W$1)),"",IF(AND(D189&gt;=$Y$4,I189=$Z$8,S189=""),($AB$1-(F189-E189)),IF(AND(P189&lt;&gt;"",S189&lt;&gt;""),I189-$Z$8,IF(AND(P189&lt;&gt;"",D189&gt;$Y$4),$AB$1-(F189-E189),"")))))))))))))))))</f>
        <v>9.7222222222222224E-3</v>
      </c>
      <c r="M189" s="107" t="str">
        <f>IFERROR(IF(H189="","",IF(B189=VLOOKUP(B189,Feriados[],2,0),(H189-D189)-(G189-E189),"")),"")</f>
        <v/>
      </c>
      <c r="N189" s="38" t="str">
        <f t="shared" si="13"/>
        <v>Ter</v>
      </c>
      <c r="O189" s="112">
        <f t="shared" si="14"/>
        <v>4.166666666666663E-2</v>
      </c>
      <c r="P189" s="113" t="str">
        <f>IF(B189=_xlfn.XLOOKUP(B189,Feriados[FE Oficial],Feriados[FE Talvez],"",0),"",IF(B189&lt;$T$1,"",IF(Q189="Consulta","",IF(Q189="Compensado","",IF(N189="Sáb","",IF(S189&lt;&gt;"",(S189-R189)-(($AB$1-O189)-(D189-$Z$4)),IF(O189&gt;$AB$1,O189-$AB$1,IF(C189&gt;$Z$4,C189-$Z$4,IF(AND(N189="Sex",G189&lt;&gt;"",H189=""),$Z$3-G189,IF(AND(G189&lt;&gt;"",H189=""),$Z$3-G189,IF(AND(N189="Sex",H189&lt;$Y$3),$Z$3-H189,IF(AND(N189&lt;&gt;"Sex",H189&gt;$AA$8),"",IF(AND(N189="Sex",H189&gt;$Z$8),"",IF(AND(N189&lt;&gt;"Sex",I189&gt;$Z$8),$Z$8-H189,IF(AND(N189&lt;&gt;"Sex",H189&lt;$Y$8),$Z$8-H189,"")))))))))))))))</f>
        <v/>
      </c>
      <c r="Q189" s="33"/>
      <c r="R189" s="33"/>
      <c r="S189" s="33"/>
    </row>
    <row r="190" spans="1:19" x14ac:dyDescent="0.25">
      <c r="A190" s="116" t="s">
        <v>190</v>
      </c>
      <c r="B190" s="32">
        <v>43852</v>
      </c>
      <c r="C190" s="39">
        <f t="shared" si="10"/>
        <v>0.33333333333333331</v>
      </c>
      <c r="D190" s="33">
        <v>0.32361111111111113</v>
      </c>
      <c r="E190" s="33">
        <v>0.49027777777777781</v>
      </c>
      <c r="F190" s="39">
        <f t="shared" si="11"/>
        <v>0.52083333333333337</v>
      </c>
      <c r="G190" s="33">
        <v>0.52083333333333337</v>
      </c>
      <c r="H190" s="33">
        <v>0.75</v>
      </c>
      <c r="I190" s="39">
        <f>IFERROR(IF(B190=VLOOKUP(B190,Feriados[],2,0),H190,IF(N190="Sáb",H190,IF(AND(B190&lt;$T$1,H190&lt;=$AA$3),$Z$3,IF(AND(N190="Sex",H190&gt;$AA$3),H190,IF(H190&lt;=$AA$3,$Z$3,IF(H190&lt;=$AA$8,$Z$8,H190)))))),IF(N190="Sáb",H190,IF(AND(B190&lt;$T$1,H190&lt;=$AA$3),$Z$3,IF(AND(N190="Sex",H190&gt;$AA$3),H190,IF(H190&lt;=$AA$3,$Z$3,IF(H190&lt;=$AA$8,$Z$8,H190))))))</f>
        <v>0.75</v>
      </c>
      <c r="J190" s="33">
        <f t="shared" si="12"/>
        <v>0.375</v>
      </c>
      <c r="K190" s="33">
        <f>IFERROR(IF(H190="","",IF(B190=VLOOKUP(B190,Feriados[],2,0),(H190-D190)-(G190-E190),IF(D190&lt;=$Y$4,(I190-D190)-(G190-E190),(I190-C190)-(F190-E190)))),IF(AND(D190&lt;=$Y$4,F190-E190=$AB$1),(I190-D190)-(F190-E190),IF(D190&lt;$Y$4,(I190-D190)-(G190-E190),(I190-C190)-(F190-E190))))</f>
        <v>0.39583333333333331</v>
      </c>
      <c r="L190" s="40">
        <f>IF(B190=_xlfn.XLOOKUP(B190,Feriados[FE Oficial],Feriados[FE Talvez],"",0),"",IF(Q190="Compensado","",IF(AND(N190="Sex",D190&lt;$Y$4),($Z$4-D190)+$AB$1-(F190-E190)+(I190-$Z$3),IF(AND(N190="Sex",I190&gt;$Z$3),($AB$1-(F190-E190))+(I190-$Z$3),IF(AND(N190="Sex",E190&lt;&gt;"",D190&lt;$Y$4),($Z$4-D190)+$AB$1-(F190-E190)+(I190-$Z$3),IF(N190="Sáb",(I190-D190)-(G190-E190)-(S190-R190),IF(AND(B190&lt;$T$1,I190&gt;$Z$3),H190-$Z$3,IF(D190&lt;$Y$4,($Z$4-D190)+($AB$1-(F190-E190))+(I190-$Z$8)+(S190-R190),IF(AND(S190&lt;&gt;"",D190&gt;$Z$4),(S190-R190)-($AB$1-(F190-E190)),IF(AND(S190&lt;&gt;"",D190&lt;$Y$4),(S190-R190)-($AB$1-(F190-E190)+($Z$4-D190)),IF(I190&gt;$Z$8,($AB$1-(F190-E190))+(I190-$Z$8),IF(AND(N190="Sex",(F190-E190)&lt;($AB$1-$W$1)),($AB$1-(F190-E190)),IF(AND(O190&gt;($AB$1-$W$1),D190&gt;$Z$4),"",IF(AND(B190&gt;=$T$1,(F190-E190)&gt;($AB$1-$W$1)),"",IF(AND(D190&gt;=$Y$4,I190=$Z$8,S190=""),($AB$1-(F190-E190)),IF(AND(P190&lt;&gt;"",S190&lt;&gt;""),I190-$Z$8,IF(AND(P190&lt;&gt;"",D190&gt;$Y$4),$AB$1-(F190-E190),"")))))))))))))))))</f>
        <v>2.0833333333333294E-2</v>
      </c>
      <c r="M190" s="107" t="str">
        <f>IFERROR(IF(H190="","",IF(B190=VLOOKUP(B190,Feriados[],2,0),(H190-D190)-(G190-E190),"")),"")</f>
        <v/>
      </c>
      <c r="N190" s="38" t="str">
        <f t="shared" si="13"/>
        <v>Ter</v>
      </c>
      <c r="O190" s="112">
        <f t="shared" si="14"/>
        <v>3.0555555555555558E-2</v>
      </c>
      <c r="P190" s="113" t="str">
        <f>IF(B190=_xlfn.XLOOKUP(B190,Feriados[FE Oficial],Feriados[FE Talvez],"",0),"",IF(B190&lt;$T$1,"",IF(Q190="Consulta","",IF(Q190="Compensado","",IF(N190="Sáb","",IF(S190&lt;&gt;"",(S190-R190)-(($AB$1-O190)-(D190-$Z$4)),IF(O190&gt;$AB$1,O190-$AB$1,IF(C190&gt;$Z$4,C190-$Z$4,IF(AND(N190="Sex",G190&lt;&gt;"",H190=""),$Z$3-G190,IF(AND(G190&lt;&gt;"",H190=""),$Z$3-G190,IF(AND(N190="Sex",H190&lt;$Y$3),$Z$3-H190,IF(AND(N190&lt;&gt;"Sex",H190&gt;$AA$8),"",IF(AND(N190="Sex",H190&gt;$Z$8),"",IF(AND(N190&lt;&gt;"Sex",I190&gt;$Z$8),$Z$8-H190,IF(AND(N190&lt;&gt;"Sex",H190&lt;$Y$8),$Z$8-H190,"")))))))))))))))</f>
        <v/>
      </c>
      <c r="Q190" s="33"/>
      <c r="R190" s="33"/>
      <c r="S190" s="33"/>
    </row>
    <row r="191" spans="1:19" x14ac:dyDescent="0.25">
      <c r="A191" s="116" t="s">
        <v>194</v>
      </c>
      <c r="B191" s="32">
        <v>43852</v>
      </c>
      <c r="C191" s="39">
        <f t="shared" si="10"/>
        <v>0.33333333333333331</v>
      </c>
      <c r="D191" s="33">
        <v>0.29166666666666669</v>
      </c>
      <c r="E191" s="33">
        <v>0.5</v>
      </c>
      <c r="F191" s="39">
        <f t="shared" si="11"/>
        <v>0.54166666666666663</v>
      </c>
      <c r="G191" s="33">
        <v>0.54166666666666663</v>
      </c>
      <c r="H191" s="33">
        <v>0.75</v>
      </c>
      <c r="I191" s="39">
        <f>IFERROR(IF(B191=VLOOKUP(B191,Feriados[],2,0),H191,IF(N191="Sáb",H191,IF(AND(B191&lt;$T$1,H191&lt;=$AA$3),$Z$3,IF(AND(N191="Sex",H191&gt;$AA$3),H191,IF(H191&lt;=$AA$3,$Z$3,IF(H191&lt;=$AA$8,$Z$8,H191)))))),IF(N191="Sáb",H191,IF(AND(B191&lt;$T$1,H191&lt;=$AA$3),$Z$3,IF(AND(N191="Sex",H191&gt;$AA$3),H191,IF(H191&lt;=$AA$3,$Z$3,IF(H191&lt;=$AA$8,$Z$8,H191))))))</f>
        <v>0.75</v>
      </c>
      <c r="J191" s="33">
        <f t="shared" si="12"/>
        <v>0.375</v>
      </c>
      <c r="K191" s="33">
        <f>IFERROR(IF(H191="","",IF(B191=VLOOKUP(B191,Feriados[],2,0),(H191-D191)-(G191-E191),IF(D191&lt;=$Y$4,(I191-D191)-(G191-E191),(I191-C191)-(F191-E191)))),IF(AND(D191&lt;=$Y$4,F191-E191=$AB$1),(I191-D191)-(F191-E191),IF(D191&lt;$Y$4,(I191-D191)-(G191-E191),(I191-C191)-(F191-E191))))</f>
        <v>0.41666666666666669</v>
      </c>
      <c r="L191" s="40">
        <f>IF(B191=_xlfn.XLOOKUP(B191,Feriados[FE Oficial],Feriados[FE Talvez],"",0),"",IF(Q191="Compensado","",IF(AND(N191="Sex",D191&lt;$Y$4),($Z$4-D191)+$AB$1-(F191-E191)+(I191-$Z$3),IF(AND(N191="Sex",I191&gt;$Z$3),($AB$1-(F191-E191))+(I191-$Z$3),IF(AND(N191="Sex",E191&lt;&gt;"",D191&lt;$Y$4),($Z$4-D191)+$AB$1-(F191-E191)+(I191-$Z$3),IF(N191="Sáb",(I191-D191)-(G191-E191)-(S191-R191),IF(AND(B191&lt;$T$1,I191&gt;$Z$3),H191-$Z$3,IF(D191&lt;$Y$4,($Z$4-D191)+($AB$1-(F191-E191))+(I191-$Z$8)+(S191-R191),IF(AND(S191&lt;&gt;"",D191&gt;$Z$4),(S191-R191)-($AB$1-(F191-E191)),IF(AND(S191&lt;&gt;"",D191&lt;$Y$4),(S191-R191)-($AB$1-(F191-E191)+($Z$4-D191)),IF(I191&gt;$Z$8,($AB$1-(F191-E191))+(I191-$Z$8),IF(AND(N191="Sex",(F191-E191)&lt;($AB$1-$W$1)),($AB$1-(F191-E191)),IF(AND(O191&gt;($AB$1-$W$1),D191&gt;$Z$4),"",IF(AND(B191&gt;=$T$1,(F191-E191)&gt;($AB$1-$W$1)),"",IF(AND(D191&gt;=$Y$4,I191=$Z$8,S191=""),($AB$1-(F191-E191)),IF(AND(P191&lt;&gt;"",S191&lt;&gt;""),I191-$Z$8,IF(AND(P191&lt;&gt;"",D191&gt;$Y$4),$AB$1-(F191-E191),"")))))))))))))))))</f>
        <v>4.1666666666666664E-2</v>
      </c>
      <c r="M191" s="107" t="str">
        <f>IFERROR(IF(H191="","",IF(B191=VLOOKUP(B191,Feriados[],2,0),(H191-D191)-(G191-E191),"")),"")</f>
        <v/>
      </c>
      <c r="N191" s="38" t="str">
        <f t="shared" si="13"/>
        <v>Ter</v>
      </c>
      <c r="O191" s="112">
        <f t="shared" si="14"/>
        <v>4.166666666666663E-2</v>
      </c>
      <c r="P191" s="113" t="str">
        <f>IF(B191=_xlfn.XLOOKUP(B191,Feriados[FE Oficial],Feriados[FE Talvez],"",0),"",IF(B191&lt;$T$1,"",IF(Q191="Consulta","",IF(Q191="Compensado","",IF(N191="Sáb","",IF(S191&lt;&gt;"",(S191-R191)-(($AB$1-O191)-(D191-$Z$4)),IF(O191&gt;$AB$1,O191-$AB$1,IF(C191&gt;$Z$4,C191-$Z$4,IF(AND(N191="Sex",G191&lt;&gt;"",H191=""),$Z$3-G191,IF(AND(G191&lt;&gt;"",H191=""),$Z$3-G191,IF(AND(N191="Sex",H191&lt;$Y$3),$Z$3-H191,IF(AND(N191&lt;&gt;"Sex",H191&gt;$AA$8),"",IF(AND(N191="Sex",H191&gt;$Z$8),"",IF(AND(N191&lt;&gt;"Sex",I191&gt;$Z$8),$Z$8-H191,IF(AND(N191&lt;&gt;"Sex",H191&lt;$Y$8),$Z$8-H191,"")))))))))))))))</f>
        <v/>
      </c>
      <c r="Q191" s="33"/>
      <c r="R191" s="33"/>
      <c r="S191" s="33"/>
    </row>
    <row r="192" spans="1:19" x14ac:dyDescent="0.25">
      <c r="A192" s="117" t="s">
        <v>197</v>
      </c>
      <c r="B192" s="32">
        <v>43852</v>
      </c>
      <c r="C192" s="39">
        <f t="shared" si="10"/>
        <v>0.33333333333333331</v>
      </c>
      <c r="D192" s="33">
        <v>0.32361111111111113</v>
      </c>
      <c r="E192" s="33">
        <v>0.47916666666666669</v>
      </c>
      <c r="F192" s="39">
        <f t="shared" si="11"/>
        <v>0.52083333333333337</v>
      </c>
      <c r="G192" s="33">
        <v>0.52083333333333337</v>
      </c>
      <c r="H192" s="33">
        <v>0.75</v>
      </c>
      <c r="I192" s="39">
        <f>IFERROR(IF(B192=VLOOKUP(B192,Feriados[],2,0),H192,IF(N192="Sáb",H192,IF(AND(B192&lt;$T$1,H192&lt;=$AA$3),$Z$3,IF(AND(N192="Sex",H192&gt;$AA$3),H192,IF(H192&lt;=$AA$3,$Z$3,IF(H192&lt;=$AA$8,$Z$8,H192)))))),IF(N192="Sáb",H192,IF(AND(B192&lt;$T$1,H192&lt;=$AA$3),$Z$3,IF(AND(N192="Sex",H192&gt;$AA$3),H192,IF(H192&lt;=$AA$3,$Z$3,IF(H192&lt;=$AA$8,$Z$8,H192))))))</f>
        <v>0.75</v>
      </c>
      <c r="J192" s="33">
        <f t="shared" si="12"/>
        <v>0.375</v>
      </c>
      <c r="K192" s="33">
        <f>IFERROR(IF(H192="","",IF(B192=VLOOKUP(B192,Feriados[],2,0),(H192-D192)-(G192-E192),IF(D192&lt;=$Y$4,(I192-D192)-(G192-E192),(I192-C192)-(F192-E192)))),IF(AND(D192&lt;=$Y$4,F192-E192=$AB$1),(I192-D192)-(F192-E192),IF(D192&lt;$Y$4,(I192-D192)-(G192-E192),(I192-C192)-(F192-E192))))</f>
        <v>0.38472222222222219</v>
      </c>
      <c r="L192" s="40">
        <f>IF(B192=_xlfn.XLOOKUP(B192,Feriados[FE Oficial],Feriados[FE Talvez],"",0),"",IF(Q192="Compensado","",IF(AND(N192="Sex",D192&lt;$Y$4),($Z$4-D192)+$AB$1-(F192-E192)+(I192-$Z$3),IF(AND(N192="Sex",I192&gt;$Z$3),($AB$1-(F192-E192))+(I192-$Z$3),IF(AND(N192="Sex",E192&lt;&gt;"",D192&lt;$Y$4),($Z$4-D192)+$AB$1-(F192-E192)+(I192-$Z$3),IF(N192="Sáb",(I192-D192)-(G192-E192)-(S192-R192),IF(AND(B192&lt;$T$1,I192&gt;$Z$3),H192-$Z$3,IF(D192&lt;$Y$4,($Z$4-D192)+($AB$1-(F192-E192))+(I192-$Z$8)+(S192-R192),IF(AND(S192&lt;&gt;"",D192&gt;$Z$4),(S192-R192)-($AB$1-(F192-E192)),IF(AND(S192&lt;&gt;"",D192&lt;$Y$4),(S192-R192)-($AB$1-(F192-E192)+($Z$4-D192)),IF(I192&gt;$Z$8,($AB$1-(F192-E192))+(I192-$Z$8),IF(AND(N192="Sex",(F192-E192)&lt;($AB$1-$W$1)),($AB$1-(F192-E192)),IF(AND(O192&gt;($AB$1-$W$1),D192&gt;$Z$4),"",IF(AND(B192&gt;=$T$1,(F192-E192)&gt;($AB$1-$W$1)),"",IF(AND(D192&gt;=$Y$4,I192=$Z$8,S192=""),($AB$1-(F192-E192)),IF(AND(P192&lt;&gt;"",S192&lt;&gt;""),I192-$Z$8,IF(AND(P192&lt;&gt;"",D192&gt;$Y$4),$AB$1-(F192-E192),"")))))))))))))))))</f>
        <v>9.7222222222221669E-3</v>
      </c>
      <c r="M192" s="107" t="str">
        <f>IFERROR(IF(H192="","",IF(B192=VLOOKUP(B192,Feriados[],2,0),(H192-D192)-(G192-E192),"")),"")</f>
        <v/>
      </c>
      <c r="N192" s="38" t="str">
        <f t="shared" si="13"/>
        <v>Ter</v>
      </c>
      <c r="O192" s="112">
        <f t="shared" si="14"/>
        <v>4.1666666666666685E-2</v>
      </c>
      <c r="P192" s="113" t="str">
        <f>IF(B192=_xlfn.XLOOKUP(B192,Feriados[FE Oficial],Feriados[FE Talvez],"",0),"",IF(B192&lt;$T$1,"",IF(Q192="Consulta","",IF(Q192="Compensado","",IF(N192="Sáb","",IF(S192&lt;&gt;"",(S192-R192)-(($AB$1-O192)-(D192-$Z$4)),IF(O192&gt;$AB$1,O192-$AB$1,IF(C192&gt;$Z$4,C192-$Z$4,IF(AND(N192="Sex",G192&lt;&gt;"",H192=""),$Z$3-G192,IF(AND(G192&lt;&gt;"",H192=""),$Z$3-G192,IF(AND(N192="Sex",H192&lt;$Y$3),$Z$3-H192,IF(AND(N192&lt;&gt;"Sex",H192&gt;$AA$8),"",IF(AND(N192="Sex",H192&gt;$Z$8),"",IF(AND(N192&lt;&gt;"Sex",I192&gt;$Z$8),$Z$8-H192,IF(AND(N192&lt;&gt;"Sex",H192&lt;$Y$8),$Z$8-H192,"")))))))))))))))</f>
        <v/>
      </c>
      <c r="Q192" s="33"/>
      <c r="R192" s="33"/>
      <c r="S192" s="33"/>
    </row>
    <row r="193" spans="1:19" x14ac:dyDescent="0.25">
      <c r="A193" s="116" t="s">
        <v>191</v>
      </c>
      <c r="B193" s="32">
        <v>43852</v>
      </c>
      <c r="C193" s="39">
        <f t="shared" si="10"/>
        <v>0.33333333333333331</v>
      </c>
      <c r="D193" s="33">
        <v>0.32361111111111113</v>
      </c>
      <c r="E193" s="33">
        <v>0.5</v>
      </c>
      <c r="F193" s="39">
        <f t="shared" si="11"/>
        <v>0.54166666666666663</v>
      </c>
      <c r="G193" s="33">
        <v>0.54166666666666663</v>
      </c>
      <c r="H193" s="33">
        <v>0.75</v>
      </c>
      <c r="I193" s="39">
        <f>IFERROR(IF(B193=VLOOKUP(B193,Feriados[],2,0),H193,IF(N193="Sáb",H193,IF(AND(B193&lt;$T$1,H193&lt;=$AA$3),$Z$3,IF(AND(N193="Sex",H193&gt;$AA$3),H193,IF(H193&lt;=$AA$3,$Z$3,IF(H193&lt;=$AA$8,$Z$8,H193)))))),IF(N193="Sáb",H193,IF(AND(B193&lt;$T$1,H193&lt;=$AA$3),$Z$3,IF(AND(N193="Sex",H193&gt;$AA$3),H193,IF(H193&lt;=$AA$3,$Z$3,IF(H193&lt;=$AA$8,$Z$8,H193))))))</f>
        <v>0.75</v>
      </c>
      <c r="J193" s="33">
        <f t="shared" si="12"/>
        <v>0.375</v>
      </c>
      <c r="K193" s="33">
        <f>IFERROR(IF(H193="","",IF(B193=VLOOKUP(B193,Feriados[],2,0),(H193-D193)-(G193-E193),IF(D193&lt;=$Y$4,(I193-D193)-(G193-E193),(I193-C193)-(F193-E193)))),IF(AND(D193&lt;=$Y$4,F193-E193=$AB$1),(I193-D193)-(F193-E193),IF(D193&lt;$Y$4,(I193-D193)-(G193-E193),(I193-C193)-(F193-E193))))</f>
        <v>0.38472222222222224</v>
      </c>
      <c r="L193" s="40">
        <f>IF(B193=_xlfn.XLOOKUP(B193,Feriados[FE Oficial],Feriados[FE Talvez],"",0),"",IF(Q193="Compensado","",IF(AND(N193="Sex",D193&lt;$Y$4),($Z$4-D193)+$AB$1-(F193-E193)+(I193-$Z$3),IF(AND(N193="Sex",I193&gt;$Z$3),($AB$1-(F193-E193))+(I193-$Z$3),IF(AND(N193="Sex",E193&lt;&gt;"",D193&lt;$Y$4),($Z$4-D193)+$AB$1-(F193-E193)+(I193-$Z$3),IF(N193="Sáb",(I193-D193)-(G193-E193)-(S193-R193),IF(AND(B193&lt;$T$1,I193&gt;$Z$3),H193-$Z$3,IF(D193&lt;$Y$4,($Z$4-D193)+($AB$1-(F193-E193))+(I193-$Z$8)+(S193-R193),IF(AND(S193&lt;&gt;"",D193&gt;$Z$4),(S193-R193)-($AB$1-(F193-E193)),IF(AND(S193&lt;&gt;"",D193&lt;$Y$4),(S193-R193)-($AB$1-(F193-E193)+($Z$4-D193)),IF(I193&gt;$Z$8,($AB$1-(F193-E193))+(I193-$Z$8),IF(AND(N193="Sex",(F193-E193)&lt;($AB$1-$W$1)),($AB$1-(F193-E193)),IF(AND(O193&gt;($AB$1-$W$1),D193&gt;$Z$4),"",IF(AND(B193&gt;=$T$1,(F193-E193)&gt;($AB$1-$W$1)),"",IF(AND(D193&gt;=$Y$4,I193=$Z$8,S193=""),($AB$1-(F193-E193)),IF(AND(P193&lt;&gt;"",S193&lt;&gt;""),I193-$Z$8,IF(AND(P193&lt;&gt;"",D193&gt;$Y$4),$AB$1-(F193-E193),"")))))))))))))))))</f>
        <v>9.7222222222222224E-3</v>
      </c>
      <c r="M193" s="107" t="str">
        <f>IFERROR(IF(H193="","",IF(B193=VLOOKUP(B193,Feriados[],2,0),(H193-D193)-(G193-E193),"")),"")</f>
        <v/>
      </c>
      <c r="N193" s="38" t="str">
        <f t="shared" si="13"/>
        <v>Ter</v>
      </c>
      <c r="O193" s="112">
        <f t="shared" si="14"/>
        <v>4.166666666666663E-2</v>
      </c>
      <c r="P193" s="113" t="str">
        <f>IF(B193=_xlfn.XLOOKUP(B193,Feriados[FE Oficial],Feriados[FE Talvez],"",0),"",IF(B193&lt;$T$1,"",IF(Q193="Consulta","",IF(Q193="Compensado","",IF(N193="Sáb","",IF(S193&lt;&gt;"",(S193-R193)-(($AB$1-O193)-(D193-$Z$4)),IF(O193&gt;$AB$1,O193-$AB$1,IF(C193&gt;$Z$4,C193-$Z$4,IF(AND(N193="Sex",G193&lt;&gt;"",H193=""),$Z$3-G193,IF(AND(G193&lt;&gt;"",H193=""),$Z$3-G193,IF(AND(N193="Sex",H193&lt;$Y$3),$Z$3-H193,IF(AND(N193&lt;&gt;"Sex",H193&gt;$AA$8),"",IF(AND(N193="Sex",H193&gt;$Z$8),"",IF(AND(N193&lt;&gt;"Sex",I193&gt;$Z$8),$Z$8-H193,IF(AND(N193&lt;&gt;"Sex",H193&lt;$Y$8),$Z$8-H193,"")))))))))))))))</f>
        <v/>
      </c>
      <c r="Q193" s="33"/>
      <c r="R193" s="33"/>
      <c r="S193" s="33"/>
    </row>
    <row r="194" spans="1:19" x14ac:dyDescent="0.25">
      <c r="A194" s="115" t="s">
        <v>198</v>
      </c>
      <c r="B194" s="32">
        <v>43852</v>
      </c>
      <c r="C194" s="39">
        <f t="shared" ref="C194:C257" si="15">IF(D194="","",IF(D194&lt;=$Y$4,$Z$4,IF(D194&lt;=$AA$4,$Z$4,D194)))</f>
        <v>0.33333333333333331</v>
      </c>
      <c r="D194" s="33">
        <v>0.32361111111111113</v>
      </c>
      <c r="E194" s="33">
        <v>0.5</v>
      </c>
      <c r="F194" s="39">
        <f t="shared" ref="F194:F257" si="16">IF(G194-E194&lt;=$X$1,G194,E194+$AB$1)</f>
        <v>0.54166666666666663</v>
      </c>
      <c r="G194" s="33">
        <v>0.54166666666666663</v>
      </c>
      <c r="H194" s="33">
        <v>0.75</v>
      </c>
      <c r="I194" s="39">
        <f>IFERROR(IF(B194=VLOOKUP(B194,Feriados[],2,0),H194,IF(N194="Sáb",H194,IF(AND(B194&lt;$T$1,H194&lt;=$AA$3),$Z$3,IF(AND(N194="Sex",H194&gt;$AA$3),H194,IF(H194&lt;=$AA$3,$Z$3,IF(H194&lt;=$AA$8,$Z$8,H194)))))),IF(N194="Sáb",H194,IF(AND(B194&lt;$T$1,H194&lt;=$AA$3),$Z$3,IF(AND(N194="Sex",H194&gt;$AA$3),H194,IF(H194&lt;=$AA$3,$Z$3,IF(H194&lt;=$AA$8,$Z$8,H194))))))</f>
        <v>0.75</v>
      </c>
      <c r="J194" s="33">
        <f t="shared" ref="J194:J257" si="17">IF((H194-D194)-(G194-E194)&lt;$AB$1,"",IF(AND(B194&lt;$T$1,(H194-D194)-(G194-E194)&gt;$Y$2),$Y$2,IF(AND(N194="Sex",(H194-D194)-(G194-E194)&gt;$Y$2),$Y$2,IF((H194-D194)-(G194-E194)&gt;$X$2,$X$2,(H194-D194)-(G194-E194)))))</f>
        <v>0.375</v>
      </c>
      <c r="K194" s="33">
        <f>IFERROR(IF(H194="","",IF(B194=VLOOKUP(B194,Feriados[],2,0),(H194-D194)-(G194-E194),IF(D194&lt;=$Y$4,(I194-D194)-(G194-E194),(I194-C194)-(F194-E194)))),IF(AND(D194&lt;=$Y$4,F194-E194=$AB$1),(I194-D194)-(F194-E194),IF(D194&lt;$Y$4,(I194-D194)-(G194-E194),(I194-C194)-(F194-E194))))</f>
        <v>0.38472222222222224</v>
      </c>
      <c r="L194" s="40">
        <f>IF(B194=_xlfn.XLOOKUP(B194,Feriados[FE Oficial],Feriados[FE Talvez],"",0),"",IF(Q194="Compensado","",IF(AND(N194="Sex",D194&lt;$Y$4),($Z$4-D194)+$AB$1-(F194-E194)+(I194-$Z$3),IF(AND(N194="Sex",I194&gt;$Z$3),($AB$1-(F194-E194))+(I194-$Z$3),IF(AND(N194="Sex",E194&lt;&gt;"",D194&lt;$Y$4),($Z$4-D194)+$AB$1-(F194-E194)+(I194-$Z$3),IF(N194="Sáb",(I194-D194)-(G194-E194)-(S194-R194),IF(AND(B194&lt;$T$1,I194&gt;$Z$3),H194-$Z$3,IF(D194&lt;$Y$4,($Z$4-D194)+($AB$1-(F194-E194))+(I194-$Z$8)+(S194-R194),IF(AND(S194&lt;&gt;"",D194&gt;$Z$4),(S194-R194)-($AB$1-(F194-E194)),IF(AND(S194&lt;&gt;"",D194&lt;$Y$4),(S194-R194)-($AB$1-(F194-E194)+($Z$4-D194)),IF(I194&gt;$Z$8,($AB$1-(F194-E194))+(I194-$Z$8),IF(AND(N194="Sex",(F194-E194)&lt;($AB$1-$W$1)),($AB$1-(F194-E194)),IF(AND(O194&gt;($AB$1-$W$1),D194&gt;$Z$4),"",IF(AND(B194&gt;=$T$1,(F194-E194)&gt;($AB$1-$W$1)),"",IF(AND(D194&gt;=$Y$4,I194=$Z$8,S194=""),($AB$1-(F194-E194)),IF(AND(P194&lt;&gt;"",S194&lt;&gt;""),I194-$Z$8,IF(AND(P194&lt;&gt;"",D194&gt;$Y$4),$AB$1-(F194-E194),"")))))))))))))))))</f>
        <v>9.7222222222222224E-3</v>
      </c>
      <c r="M194" s="107" t="str">
        <f>IFERROR(IF(H194="","",IF(B194=VLOOKUP(B194,Feriados[],2,0),(H194-D194)-(G194-E194),"")),"")</f>
        <v/>
      </c>
      <c r="N194" s="38" t="str">
        <f t="shared" ref="N194:N257" si="18">PROPER(TEXT(B194,"DDD"))</f>
        <v>Ter</v>
      </c>
      <c r="O194" s="112">
        <f t="shared" ref="O194:O257" si="19">G194-E194</f>
        <v>4.166666666666663E-2</v>
      </c>
      <c r="P194" s="113" t="str">
        <f>IF(B194=_xlfn.XLOOKUP(B194,Feriados[FE Oficial],Feriados[FE Talvez],"",0),"",IF(B194&lt;$T$1,"",IF(Q194="Consulta","",IF(Q194="Compensado","",IF(N194="Sáb","",IF(S194&lt;&gt;"",(S194-R194)-(($AB$1-O194)-(D194-$Z$4)),IF(O194&gt;$AB$1,O194-$AB$1,IF(C194&gt;$Z$4,C194-$Z$4,IF(AND(N194="Sex",G194&lt;&gt;"",H194=""),$Z$3-G194,IF(AND(G194&lt;&gt;"",H194=""),$Z$3-G194,IF(AND(N194="Sex",H194&lt;$Y$3),$Z$3-H194,IF(AND(N194&lt;&gt;"Sex",H194&gt;$AA$8),"",IF(AND(N194="Sex",H194&gt;$Z$8),"",IF(AND(N194&lt;&gt;"Sex",I194&gt;$Z$8),$Z$8-H194,IF(AND(N194&lt;&gt;"Sex",H194&lt;$Y$8),$Z$8-H194,"")))))))))))))))</f>
        <v/>
      </c>
      <c r="Q194" s="33"/>
      <c r="R194" s="33"/>
      <c r="S194" s="33"/>
    </row>
    <row r="195" spans="1:19" x14ac:dyDescent="0.25">
      <c r="A195" s="115" t="s">
        <v>199</v>
      </c>
      <c r="B195" s="32">
        <v>43852</v>
      </c>
      <c r="C195" s="39">
        <f t="shared" si="15"/>
        <v>0.54166666666666663</v>
      </c>
      <c r="D195" s="33">
        <v>0.54166666666666663</v>
      </c>
      <c r="E195" s="33">
        <v>0.75</v>
      </c>
      <c r="F195" s="39">
        <f t="shared" si="16"/>
        <v>0</v>
      </c>
      <c r="I195" s="39">
        <f>IFERROR(IF(B195=VLOOKUP(B195,Feriados[],2,0),H195,IF(N195="Sáb",H195,IF(AND(B195&lt;$T$1,H195&lt;=$AA$3),$Z$3,IF(AND(N195="Sex",H195&gt;$AA$3),H195,IF(H195&lt;=$AA$3,$Z$3,IF(H195&lt;=$AA$8,$Z$8,H195)))))),IF(N195="Sáb",H195,IF(AND(B195&lt;$T$1,H195&lt;=$AA$3),$Z$3,IF(AND(N195="Sex",H195&gt;$AA$3),H195,IF(H195&lt;=$AA$3,$Z$3,IF(H195&lt;=$AA$8,$Z$8,H195))))))</f>
        <v>0.70833333333333337</v>
      </c>
      <c r="J195" s="33">
        <f t="shared" si="17"/>
        <v>0.20833333333333337</v>
      </c>
      <c r="K195" s="33" t="str">
        <f>IFERROR(IF(H195="","",IF(B195=VLOOKUP(B195,Feriados[],2,0),(H195-D195)-(G195-E195),IF(D195&lt;=$Y$4,(I195-D195)-(G195-E195),(I195-C195)-(F195-E195)))),IF(AND(D195&lt;=$Y$4,F195-E195=$AB$1),(I195-D195)-(F195-E195),IF(D195&lt;$Y$4,(I195-D195)-(G195-E195),(I195-C195)-(F195-E195))))</f>
        <v/>
      </c>
      <c r="L195" s="40">
        <f>IF(B195=_xlfn.XLOOKUP(B195,Feriados[FE Oficial],Feriados[FE Talvez],"",0),"",IF(Q195="Compensado","",IF(AND(N195="Sex",D195&lt;$Y$4),($Z$4-D195)+$AB$1-(F195-E195)+(I195-$Z$3),IF(AND(N195="Sex",I195&gt;$Z$3),($AB$1-(F195-E195))+(I195-$Z$3),IF(AND(N195="Sex",E195&lt;&gt;"",D195&lt;$Y$4),($Z$4-D195)+$AB$1-(F195-E195)+(I195-$Z$3),IF(N195="Sáb",(I195-D195)-(G195-E195)-(S195-R195),IF(AND(B195&lt;$T$1,I195&gt;$Z$3),H195-$Z$3,IF(D195&lt;$Y$4,($Z$4-D195)+($AB$1-(F195-E195))+(I195-$Z$8)+(S195-R195),IF(AND(S195&lt;&gt;"",D195&gt;$Z$4),(S195-R195)-($AB$1-(F195-E195)),IF(AND(S195&lt;&gt;"",D195&lt;$Y$4),(S195-R195)-($AB$1-(F195-E195)+($Z$4-D195)),IF(I195&gt;$Z$8,($AB$1-(F195-E195))+(I195-$Z$8),IF(AND(N195="Sex",(F195-E195)&lt;($AB$1-$W$1)),($AB$1-(F195-E195)),IF(AND(O195&gt;($AB$1-$W$1),D195&gt;$Z$4),"",IF(AND(B195&gt;=$T$1,(F195-E195)&gt;($AB$1-$W$1)),"",IF(AND(D195&gt;=$Y$4,I195=$Z$8,S195=""),($AB$1-(F195-E195)),IF(AND(P195&lt;&gt;"",S195&lt;&gt;""),I195-$Z$8,IF(AND(P195&lt;&gt;"",D195&gt;$Y$4),$AB$1-(F195-E195),"")))))))))))))))))</f>
        <v>0.79166666666666663</v>
      </c>
      <c r="M195" s="107" t="str">
        <f>IFERROR(IF(H195="","",IF(B195=VLOOKUP(B195,Feriados[],2,0),(H195-D195)-(G195-E195),"")),"")</f>
        <v/>
      </c>
      <c r="N195" s="38" t="str">
        <f t="shared" si="18"/>
        <v>Ter</v>
      </c>
      <c r="O195" s="112">
        <f t="shared" si="19"/>
        <v>-0.75</v>
      </c>
      <c r="P195" s="113">
        <f>IF(B195=_xlfn.XLOOKUP(B195,Feriados[FE Oficial],Feriados[FE Talvez],"",0),"",IF(B195&lt;$T$1,"",IF(Q195="Consulta","",IF(Q195="Compensado","",IF(N195="Sáb","",IF(S195&lt;&gt;"",(S195-R195)-(($AB$1-O195)-(D195-$Z$4)),IF(O195&gt;$AB$1,O195-$AB$1,IF(C195&gt;$Z$4,C195-$Z$4,IF(AND(N195="Sex",G195&lt;&gt;"",H195=""),$Z$3-G195,IF(AND(G195&lt;&gt;"",H195=""),$Z$3-G195,IF(AND(N195="Sex",H195&lt;$Y$3),$Z$3-H195,IF(AND(N195&lt;&gt;"Sex",H195&gt;$AA$8),"",IF(AND(N195="Sex",H195&gt;$Z$8),"",IF(AND(N195&lt;&gt;"Sex",I195&gt;$Z$8),$Z$8-H195,IF(AND(N195&lt;&gt;"Sex",H195&lt;$Y$8),$Z$8-H195,"")))))))))))))))</f>
        <v>0.20833333333333331</v>
      </c>
      <c r="Q195" s="33"/>
      <c r="R195" s="33"/>
      <c r="S195" s="33"/>
    </row>
    <row r="196" spans="1:19" x14ac:dyDescent="0.25">
      <c r="A196" s="116" t="s">
        <v>200</v>
      </c>
      <c r="B196" s="32">
        <v>43852</v>
      </c>
      <c r="C196" s="39">
        <f t="shared" si="15"/>
        <v>0.33333333333333331</v>
      </c>
      <c r="D196" s="33">
        <v>0.32361111111111113</v>
      </c>
      <c r="E196" s="33">
        <v>0.5</v>
      </c>
      <c r="F196" s="39">
        <f t="shared" si="16"/>
        <v>0.54166666666666663</v>
      </c>
      <c r="G196" s="33">
        <v>0.54166666666666663</v>
      </c>
      <c r="H196" s="33">
        <v>0.75</v>
      </c>
      <c r="I196" s="39">
        <f>IFERROR(IF(B196=VLOOKUP(B196,Feriados[],2,0),H196,IF(N196="Sáb",H196,IF(AND(B196&lt;$T$1,H196&lt;=$AA$3),$Z$3,IF(AND(N196="Sex",H196&gt;$AA$3),H196,IF(H196&lt;=$AA$3,$Z$3,IF(H196&lt;=$AA$8,$Z$8,H196)))))),IF(N196="Sáb",H196,IF(AND(B196&lt;$T$1,H196&lt;=$AA$3),$Z$3,IF(AND(N196="Sex",H196&gt;$AA$3),H196,IF(H196&lt;=$AA$3,$Z$3,IF(H196&lt;=$AA$8,$Z$8,H196))))))</f>
        <v>0.75</v>
      </c>
      <c r="J196" s="33">
        <f t="shared" si="17"/>
        <v>0.375</v>
      </c>
      <c r="K196" s="33">
        <f>IFERROR(IF(H196="","",IF(B196=VLOOKUP(B196,Feriados[],2,0),(H196-D196)-(G196-E196),IF(D196&lt;=$Y$4,(I196-D196)-(G196-E196),(I196-C196)-(F196-E196)))),IF(AND(D196&lt;=$Y$4,F196-E196=$AB$1),(I196-D196)-(F196-E196),IF(D196&lt;$Y$4,(I196-D196)-(G196-E196),(I196-C196)-(F196-E196))))</f>
        <v>0.38472222222222224</v>
      </c>
      <c r="L196" s="40">
        <f>IF(B196=_xlfn.XLOOKUP(B196,Feriados[FE Oficial],Feriados[FE Talvez],"",0),"",IF(Q196="Compensado","",IF(AND(N196="Sex",D196&lt;$Y$4),($Z$4-D196)+$AB$1-(F196-E196)+(I196-$Z$3),IF(AND(N196="Sex",I196&gt;$Z$3),($AB$1-(F196-E196))+(I196-$Z$3),IF(AND(N196="Sex",E196&lt;&gt;"",D196&lt;$Y$4),($Z$4-D196)+$AB$1-(F196-E196)+(I196-$Z$3),IF(N196="Sáb",(I196-D196)-(G196-E196)-(S196-R196),IF(AND(B196&lt;$T$1,I196&gt;$Z$3),H196-$Z$3,IF(D196&lt;$Y$4,($Z$4-D196)+($AB$1-(F196-E196))+(I196-$Z$8)+(S196-R196),IF(AND(S196&lt;&gt;"",D196&gt;$Z$4),(S196-R196)-($AB$1-(F196-E196)),IF(AND(S196&lt;&gt;"",D196&lt;$Y$4),(S196-R196)-($AB$1-(F196-E196)+($Z$4-D196)),IF(I196&gt;$Z$8,($AB$1-(F196-E196))+(I196-$Z$8),IF(AND(N196="Sex",(F196-E196)&lt;($AB$1-$W$1)),($AB$1-(F196-E196)),IF(AND(O196&gt;($AB$1-$W$1),D196&gt;$Z$4),"",IF(AND(B196&gt;=$T$1,(F196-E196)&gt;($AB$1-$W$1)),"",IF(AND(D196&gt;=$Y$4,I196=$Z$8,S196=""),($AB$1-(F196-E196)),IF(AND(P196&lt;&gt;"",S196&lt;&gt;""),I196-$Z$8,IF(AND(P196&lt;&gt;"",D196&gt;$Y$4),$AB$1-(F196-E196),"")))))))))))))))))</f>
        <v>9.7222222222222224E-3</v>
      </c>
      <c r="M196" s="107" t="str">
        <f>IFERROR(IF(H196="","",IF(B196=VLOOKUP(B196,Feriados[],2,0),(H196-D196)-(G196-E196),"")),"")</f>
        <v/>
      </c>
      <c r="N196" s="38" t="str">
        <f t="shared" si="18"/>
        <v>Ter</v>
      </c>
      <c r="O196" s="112">
        <f t="shared" si="19"/>
        <v>4.166666666666663E-2</v>
      </c>
      <c r="P196" s="113" t="str">
        <f>IF(B196=_xlfn.XLOOKUP(B196,Feriados[FE Oficial],Feriados[FE Talvez],"",0),"",IF(B196&lt;$T$1,"",IF(Q196="Consulta","",IF(Q196="Compensado","",IF(N196="Sáb","",IF(S196&lt;&gt;"",(S196-R196)-(($AB$1-O196)-(D196-$Z$4)),IF(O196&gt;$AB$1,O196-$AB$1,IF(C196&gt;$Z$4,C196-$Z$4,IF(AND(N196="Sex",G196&lt;&gt;"",H196=""),$Z$3-G196,IF(AND(G196&lt;&gt;"",H196=""),$Z$3-G196,IF(AND(N196="Sex",H196&lt;$Y$3),$Z$3-H196,IF(AND(N196&lt;&gt;"Sex",H196&gt;$AA$8),"",IF(AND(N196="Sex",H196&gt;$Z$8),"",IF(AND(N196&lt;&gt;"Sex",I196&gt;$Z$8),$Z$8-H196,IF(AND(N196&lt;&gt;"Sex",H196&lt;$Y$8),$Z$8-H196,"")))))))))))))))</f>
        <v/>
      </c>
      <c r="Q196" s="33"/>
      <c r="R196" s="33"/>
      <c r="S196" s="33"/>
    </row>
    <row r="197" spans="1:19" x14ac:dyDescent="0.25">
      <c r="A197" s="116" t="s">
        <v>175</v>
      </c>
      <c r="B197" s="32">
        <v>43853</v>
      </c>
      <c r="C197" s="39">
        <f t="shared" si="15"/>
        <v>0.33333333333333331</v>
      </c>
      <c r="D197" s="33">
        <v>0.32847222222222222</v>
      </c>
      <c r="E197" s="33">
        <v>0.5</v>
      </c>
      <c r="F197" s="39">
        <f t="shared" si="16"/>
        <v>0.54166666666666663</v>
      </c>
      <c r="G197" s="33">
        <v>0.54166666666666663</v>
      </c>
      <c r="H197" s="33">
        <v>0.75</v>
      </c>
      <c r="I197" s="39">
        <f>IFERROR(IF(B197=VLOOKUP(B197,Feriados[],2,0),H197,IF(N197="Sáb",H197,IF(AND(B197&lt;$T$1,H197&lt;=$AA$3),$Z$3,IF(AND(N197="Sex",H197&gt;$AA$3),H197,IF(H197&lt;=$AA$3,$Z$3,IF(H197&lt;=$AA$8,$Z$8,H197)))))),IF(N197="Sáb",H197,IF(AND(B197&lt;$T$1,H197&lt;=$AA$3),$Z$3,IF(AND(N197="Sex",H197&gt;$AA$3),H197,IF(H197&lt;=$AA$3,$Z$3,IF(H197&lt;=$AA$8,$Z$8,H197))))))</f>
        <v>0.75</v>
      </c>
      <c r="J197" s="33">
        <f t="shared" si="17"/>
        <v>0.375</v>
      </c>
      <c r="K197" s="33">
        <f>IFERROR(IF(H197="","",IF(B197=VLOOKUP(B197,Feriados[],2,0),(H197-D197)-(G197-E197),IF(D197&lt;=$Y$4,(I197-D197)-(G197-E197),(I197-C197)-(F197-E197)))),IF(AND(D197&lt;=$Y$4,F197-E197=$AB$1),(I197-D197)-(F197-E197),IF(D197&lt;$Y$4,(I197-D197)-(G197-E197),(I197-C197)-(F197-E197))))</f>
        <v>0.37500000000000006</v>
      </c>
      <c r="L197" s="40" t="str">
        <f>IF(B197=_xlfn.XLOOKUP(B197,Feriados[FE Oficial],Feriados[FE Talvez],"",0),"",IF(Q197="Compensado","",IF(AND(N197="Sex",D197&lt;$Y$4),($Z$4-D197)+$AB$1-(F197-E197)+(I197-$Z$3),IF(AND(N197="Sex",I197&gt;$Z$3),($AB$1-(F197-E197))+(I197-$Z$3),IF(AND(N197="Sex",E197&lt;&gt;"",D197&lt;$Y$4),($Z$4-D197)+$AB$1-(F197-E197)+(I197-$Z$3),IF(N197="Sáb",(I197-D197)-(G197-E197)-(S197-R197),IF(AND(B197&lt;$T$1,I197&gt;$Z$3),H197-$Z$3,IF(D197&lt;$Y$4,($Z$4-D197)+($AB$1-(F197-E197))+(I197-$Z$8)+(S197-R197),IF(AND(S197&lt;&gt;"",D197&gt;$Z$4),(S197-R197)-($AB$1-(F197-E197)),IF(AND(S197&lt;&gt;"",D197&lt;$Y$4),(S197-R197)-($AB$1-(F197-E197)+($Z$4-D197)),IF(I197&gt;$Z$8,($AB$1-(F197-E197))+(I197-$Z$8),IF(AND(N197="Sex",(F197-E197)&lt;($AB$1-$W$1)),($AB$1-(F197-E197)),IF(AND(O197&gt;($AB$1-$W$1),D197&gt;$Z$4),"",IF(AND(B197&gt;=$T$1,(F197-E197)&gt;($AB$1-$W$1)),"",IF(AND(D197&gt;=$Y$4,I197=$Z$8,S197=""),($AB$1-(F197-E197)),IF(AND(P197&lt;&gt;"",S197&lt;&gt;""),I197-$Z$8,IF(AND(P197&lt;&gt;"",D197&gt;$Y$4),$AB$1-(F197-E197),"")))))))))))))))))</f>
        <v/>
      </c>
      <c r="M197" s="107" t="str">
        <f>IFERROR(IF(H197="","",IF(B197=VLOOKUP(B197,Feriados[],2,0),(H197-D197)-(G197-E197),"")),"")</f>
        <v/>
      </c>
      <c r="N197" s="38" t="str">
        <f t="shared" si="18"/>
        <v>Qua</v>
      </c>
      <c r="O197" s="112">
        <f t="shared" si="19"/>
        <v>4.166666666666663E-2</v>
      </c>
      <c r="P197" s="113" t="str">
        <f>IF(B197=_xlfn.XLOOKUP(B197,Feriados[FE Oficial],Feriados[FE Talvez],"",0),"",IF(B197&lt;$T$1,"",IF(Q197="Consulta","",IF(Q197="Compensado","",IF(N197="Sáb","",IF(S197&lt;&gt;"",(S197-R197)-(($AB$1-O197)-(D197-$Z$4)),IF(O197&gt;$AB$1,O197-$AB$1,IF(C197&gt;$Z$4,C197-$Z$4,IF(AND(N197="Sex",G197&lt;&gt;"",H197=""),$Z$3-G197,IF(AND(G197&lt;&gt;"",H197=""),$Z$3-G197,IF(AND(N197="Sex",H197&lt;$Y$3),$Z$3-H197,IF(AND(N197&lt;&gt;"Sex",H197&gt;$AA$8),"",IF(AND(N197="Sex",H197&gt;$Z$8),"",IF(AND(N197&lt;&gt;"Sex",I197&gt;$Z$8),$Z$8-H197,IF(AND(N197&lt;&gt;"Sex",H197&lt;$Y$8),$Z$8-H197,"")))))))))))))))</f>
        <v/>
      </c>
      <c r="Q197" s="33"/>
      <c r="R197" s="33"/>
      <c r="S197" s="33"/>
    </row>
    <row r="198" spans="1:19" x14ac:dyDescent="0.25">
      <c r="A198" s="116" t="s">
        <v>190</v>
      </c>
      <c r="B198" s="32">
        <v>43853</v>
      </c>
      <c r="C198" s="39">
        <f t="shared" si="15"/>
        <v>0.33333333333333331</v>
      </c>
      <c r="D198" s="33">
        <v>0.32847222222222222</v>
      </c>
      <c r="E198" s="33">
        <v>0.4826388888888889</v>
      </c>
      <c r="F198" s="39">
        <f t="shared" si="16"/>
        <v>0.52430555555555558</v>
      </c>
      <c r="G198" s="33">
        <v>0.52083333333333337</v>
      </c>
      <c r="H198" s="33">
        <v>0.75</v>
      </c>
      <c r="I198" s="39">
        <f>IFERROR(IF(B198=VLOOKUP(B198,Feriados[],2,0),H198,IF(N198="Sáb",H198,IF(AND(B198&lt;$T$1,H198&lt;=$AA$3),$Z$3,IF(AND(N198="Sex",H198&gt;$AA$3),H198,IF(H198&lt;=$AA$3,$Z$3,IF(H198&lt;=$AA$8,$Z$8,H198)))))),IF(N198="Sáb",H198,IF(AND(B198&lt;$T$1,H198&lt;=$AA$3),$Z$3,IF(AND(N198="Sex",H198&gt;$AA$3),H198,IF(H198&lt;=$AA$3,$Z$3,IF(H198&lt;=$AA$8,$Z$8,H198))))))</f>
        <v>0.75</v>
      </c>
      <c r="J198" s="33">
        <f t="shared" si="17"/>
        <v>0.375</v>
      </c>
      <c r="K198" s="33">
        <f>IFERROR(IF(H198="","",IF(B198=VLOOKUP(B198,Feriados[],2,0),(H198-D198)-(G198-E198),IF(D198&lt;=$Y$4,(I198-D198)-(G198-E198),(I198-C198)-(F198-E198)))),IF(AND(D198&lt;=$Y$4,F198-E198=$AB$1),(I198-D198)-(F198-E198),IF(D198&lt;$Y$4,(I198-D198)-(G198-E198),(I198-C198)-(F198-E198))))</f>
        <v>0.375</v>
      </c>
      <c r="L198" s="40" t="str">
        <f>IF(B198=_xlfn.XLOOKUP(B198,Feriados[FE Oficial],Feriados[FE Talvez],"",0),"",IF(Q198="Compensado","",IF(AND(N198="Sex",D198&lt;$Y$4),($Z$4-D198)+$AB$1-(F198-E198)+(I198-$Z$3),IF(AND(N198="Sex",I198&gt;$Z$3),($AB$1-(F198-E198))+(I198-$Z$3),IF(AND(N198="Sex",E198&lt;&gt;"",D198&lt;$Y$4),($Z$4-D198)+$AB$1-(F198-E198)+(I198-$Z$3),IF(N198="Sáb",(I198-D198)-(G198-E198)-(S198-R198),IF(AND(B198&lt;$T$1,I198&gt;$Z$3),H198-$Z$3,IF(D198&lt;$Y$4,($Z$4-D198)+($AB$1-(F198-E198))+(I198-$Z$8)+(S198-R198),IF(AND(S198&lt;&gt;"",D198&gt;$Z$4),(S198-R198)-($AB$1-(F198-E198)),IF(AND(S198&lt;&gt;"",D198&lt;$Y$4),(S198-R198)-($AB$1-(F198-E198)+($Z$4-D198)),IF(I198&gt;$Z$8,($AB$1-(F198-E198))+(I198-$Z$8),IF(AND(N198="Sex",(F198-E198)&lt;($AB$1-$W$1)),($AB$1-(F198-E198)),IF(AND(O198&gt;($AB$1-$W$1),D198&gt;$Z$4),"",IF(AND(B198&gt;=$T$1,(F198-E198)&gt;($AB$1-$W$1)),"",IF(AND(D198&gt;=$Y$4,I198=$Z$8,S198=""),($AB$1-(F198-E198)),IF(AND(P198&lt;&gt;"",S198&lt;&gt;""),I198-$Z$8,IF(AND(P198&lt;&gt;"",D198&gt;$Y$4),$AB$1-(F198-E198),"")))))))))))))))))</f>
        <v/>
      </c>
      <c r="M198" s="107" t="str">
        <f>IFERROR(IF(H198="","",IF(B198=VLOOKUP(B198,Feriados[],2,0),(H198-D198)-(G198-E198),"")),"")</f>
        <v/>
      </c>
      <c r="N198" s="38" t="str">
        <f t="shared" si="18"/>
        <v>Qua</v>
      </c>
      <c r="O198" s="112">
        <f t="shared" si="19"/>
        <v>3.8194444444444475E-2</v>
      </c>
      <c r="P198" s="113" t="str">
        <f>IF(B198=_xlfn.XLOOKUP(B198,Feriados[FE Oficial],Feriados[FE Talvez],"",0),"",IF(B198&lt;$T$1,"",IF(Q198="Consulta","",IF(Q198="Compensado","",IF(N198="Sáb","",IF(S198&lt;&gt;"",(S198-R198)-(($AB$1-O198)-(D198-$Z$4)),IF(O198&gt;$AB$1,O198-$AB$1,IF(C198&gt;$Z$4,C198-$Z$4,IF(AND(N198="Sex",G198&lt;&gt;"",H198=""),$Z$3-G198,IF(AND(G198&lt;&gt;"",H198=""),$Z$3-G198,IF(AND(N198="Sex",H198&lt;$Y$3),$Z$3-H198,IF(AND(N198&lt;&gt;"Sex",H198&gt;$AA$8),"",IF(AND(N198="Sex",H198&gt;$Z$8),"",IF(AND(N198&lt;&gt;"Sex",I198&gt;$Z$8),$Z$8-H198,IF(AND(N198&lt;&gt;"Sex",H198&lt;$Y$8),$Z$8-H198,"")))))))))))))))</f>
        <v/>
      </c>
      <c r="Q198" s="33"/>
      <c r="R198" s="33"/>
      <c r="S198" s="33"/>
    </row>
    <row r="199" spans="1:19" x14ac:dyDescent="0.25">
      <c r="A199" s="116" t="s">
        <v>194</v>
      </c>
      <c r="B199" s="32">
        <v>43853</v>
      </c>
      <c r="C199" s="39">
        <f t="shared" si="15"/>
        <v>0.33333333333333331</v>
      </c>
      <c r="D199" s="33">
        <v>0.29166666666666669</v>
      </c>
      <c r="E199" s="33">
        <v>0.5</v>
      </c>
      <c r="F199" s="39">
        <f t="shared" si="16"/>
        <v>0.54166666666666663</v>
      </c>
      <c r="G199" s="33">
        <v>0.54166666666666663</v>
      </c>
      <c r="H199" s="33">
        <v>0.75</v>
      </c>
      <c r="I199" s="39">
        <f>IFERROR(IF(B199=VLOOKUP(B199,Feriados[],2,0),H199,IF(N199="Sáb",H199,IF(AND(B199&lt;$T$1,H199&lt;=$AA$3),$Z$3,IF(AND(N199="Sex",H199&gt;$AA$3),H199,IF(H199&lt;=$AA$3,$Z$3,IF(H199&lt;=$AA$8,$Z$8,H199)))))),IF(N199="Sáb",H199,IF(AND(B199&lt;$T$1,H199&lt;=$AA$3),$Z$3,IF(AND(N199="Sex",H199&gt;$AA$3),H199,IF(H199&lt;=$AA$3,$Z$3,IF(H199&lt;=$AA$8,$Z$8,H199))))))</f>
        <v>0.75</v>
      </c>
      <c r="J199" s="33">
        <f t="shared" si="17"/>
        <v>0.375</v>
      </c>
      <c r="K199" s="33">
        <f>IFERROR(IF(H199="","",IF(B199=VLOOKUP(B199,Feriados[],2,0),(H199-D199)-(G199-E199),IF(D199&lt;=$Y$4,(I199-D199)-(G199-E199),(I199-C199)-(F199-E199)))),IF(AND(D199&lt;=$Y$4,F199-E199=$AB$1),(I199-D199)-(F199-E199),IF(D199&lt;$Y$4,(I199-D199)-(G199-E199),(I199-C199)-(F199-E199))))</f>
        <v>0.41666666666666669</v>
      </c>
      <c r="L199" s="40">
        <f>IF(B199=_xlfn.XLOOKUP(B199,Feriados[FE Oficial],Feriados[FE Talvez],"",0),"",IF(Q199="Compensado","",IF(AND(N199="Sex",D199&lt;$Y$4),($Z$4-D199)+$AB$1-(F199-E199)+(I199-$Z$3),IF(AND(N199="Sex",I199&gt;$Z$3),($AB$1-(F199-E199))+(I199-$Z$3),IF(AND(N199="Sex",E199&lt;&gt;"",D199&lt;$Y$4),($Z$4-D199)+$AB$1-(F199-E199)+(I199-$Z$3),IF(N199="Sáb",(I199-D199)-(G199-E199)-(S199-R199),IF(AND(B199&lt;$T$1,I199&gt;$Z$3),H199-$Z$3,IF(D199&lt;$Y$4,($Z$4-D199)+($AB$1-(F199-E199))+(I199-$Z$8)+(S199-R199),IF(AND(S199&lt;&gt;"",D199&gt;$Z$4),(S199-R199)-($AB$1-(F199-E199)),IF(AND(S199&lt;&gt;"",D199&lt;$Y$4),(S199-R199)-($AB$1-(F199-E199)+($Z$4-D199)),IF(I199&gt;$Z$8,($AB$1-(F199-E199))+(I199-$Z$8),IF(AND(N199="Sex",(F199-E199)&lt;($AB$1-$W$1)),($AB$1-(F199-E199)),IF(AND(O199&gt;($AB$1-$W$1),D199&gt;$Z$4),"",IF(AND(B199&gt;=$T$1,(F199-E199)&gt;($AB$1-$W$1)),"",IF(AND(D199&gt;=$Y$4,I199=$Z$8,S199=""),($AB$1-(F199-E199)),IF(AND(P199&lt;&gt;"",S199&lt;&gt;""),I199-$Z$8,IF(AND(P199&lt;&gt;"",D199&gt;$Y$4),$AB$1-(F199-E199),"")))))))))))))))))</f>
        <v>4.1666666666666664E-2</v>
      </c>
      <c r="M199" s="107" t="str">
        <f>IFERROR(IF(H199="","",IF(B199=VLOOKUP(B199,Feriados[],2,0),(H199-D199)-(G199-E199),"")),"")</f>
        <v/>
      </c>
      <c r="N199" s="38" t="str">
        <f t="shared" si="18"/>
        <v>Qua</v>
      </c>
      <c r="O199" s="112">
        <f t="shared" si="19"/>
        <v>4.166666666666663E-2</v>
      </c>
      <c r="P199" s="113" t="str">
        <f>IF(B199=_xlfn.XLOOKUP(B199,Feriados[FE Oficial],Feriados[FE Talvez],"",0),"",IF(B199&lt;$T$1,"",IF(Q199="Consulta","",IF(Q199="Compensado","",IF(N199="Sáb","",IF(S199&lt;&gt;"",(S199-R199)-(($AB$1-O199)-(D199-$Z$4)),IF(O199&gt;$AB$1,O199-$AB$1,IF(C199&gt;$Z$4,C199-$Z$4,IF(AND(N199="Sex",G199&lt;&gt;"",H199=""),$Z$3-G199,IF(AND(G199&lt;&gt;"",H199=""),$Z$3-G199,IF(AND(N199="Sex",H199&lt;$Y$3),$Z$3-H199,IF(AND(N199&lt;&gt;"Sex",H199&gt;$AA$8),"",IF(AND(N199="Sex",H199&gt;$Z$8),"",IF(AND(N199&lt;&gt;"Sex",I199&gt;$Z$8),$Z$8-H199,IF(AND(N199&lt;&gt;"Sex",H199&lt;$Y$8),$Z$8-H199,"")))))))))))))))</f>
        <v/>
      </c>
      <c r="Q199" s="33"/>
      <c r="R199" s="33"/>
      <c r="S199" s="33"/>
    </row>
    <row r="200" spans="1:19" x14ac:dyDescent="0.25">
      <c r="A200" s="116" t="s">
        <v>197</v>
      </c>
      <c r="B200" s="32">
        <v>43853</v>
      </c>
      <c r="C200" s="39">
        <f t="shared" si="15"/>
        <v>0.33333333333333331</v>
      </c>
      <c r="D200" s="33">
        <v>0.32847222222222222</v>
      </c>
      <c r="E200" s="33">
        <v>0.4826388888888889</v>
      </c>
      <c r="F200" s="39">
        <f t="shared" si="16"/>
        <v>0.52430555555555558</v>
      </c>
      <c r="G200" s="33">
        <v>0.52083333333333337</v>
      </c>
      <c r="H200" s="33">
        <v>0.75</v>
      </c>
      <c r="I200" s="39">
        <f>IFERROR(IF(B200=VLOOKUP(B200,Feriados[],2,0),H200,IF(N200="Sáb",H200,IF(AND(B200&lt;$T$1,H200&lt;=$AA$3),$Z$3,IF(AND(N200="Sex",H200&gt;$AA$3),H200,IF(H200&lt;=$AA$3,$Z$3,IF(H200&lt;=$AA$8,$Z$8,H200)))))),IF(N200="Sáb",H200,IF(AND(B200&lt;$T$1,H200&lt;=$AA$3),$Z$3,IF(AND(N200="Sex",H200&gt;$AA$3),H200,IF(H200&lt;=$AA$3,$Z$3,IF(H200&lt;=$AA$8,$Z$8,H200))))))</f>
        <v>0.75</v>
      </c>
      <c r="J200" s="33">
        <f t="shared" si="17"/>
        <v>0.375</v>
      </c>
      <c r="K200" s="33">
        <f>IFERROR(IF(H200="","",IF(B200=VLOOKUP(B200,Feriados[],2,0),(H200-D200)-(G200-E200),IF(D200&lt;=$Y$4,(I200-D200)-(G200-E200),(I200-C200)-(F200-E200)))),IF(AND(D200&lt;=$Y$4,F200-E200=$AB$1),(I200-D200)-(F200-E200),IF(D200&lt;$Y$4,(I200-D200)-(G200-E200),(I200-C200)-(F200-E200))))</f>
        <v>0.375</v>
      </c>
      <c r="L200" s="40" t="str">
        <f>IF(B200=_xlfn.XLOOKUP(B200,Feriados[FE Oficial],Feriados[FE Talvez],"",0),"",IF(Q200="Compensado","",IF(AND(N200="Sex",D200&lt;$Y$4),($Z$4-D200)+$AB$1-(F200-E200)+(I200-$Z$3),IF(AND(N200="Sex",I200&gt;$Z$3),($AB$1-(F200-E200))+(I200-$Z$3),IF(AND(N200="Sex",E200&lt;&gt;"",D200&lt;$Y$4),($Z$4-D200)+$AB$1-(F200-E200)+(I200-$Z$3),IF(N200="Sáb",(I200-D200)-(G200-E200)-(S200-R200),IF(AND(B200&lt;$T$1,I200&gt;$Z$3),H200-$Z$3,IF(D200&lt;$Y$4,($Z$4-D200)+($AB$1-(F200-E200))+(I200-$Z$8)+(S200-R200),IF(AND(S200&lt;&gt;"",D200&gt;$Z$4),(S200-R200)-($AB$1-(F200-E200)),IF(AND(S200&lt;&gt;"",D200&lt;$Y$4),(S200-R200)-($AB$1-(F200-E200)+($Z$4-D200)),IF(I200&gt;$Z$8,($AB$1-(F200-E200))+(I200-$Z$8),IF(AND(N200="Sex",(F200-E200)&lt;($AB$1-$W$1)),($AB$1-(F200-E200)),IF(AND(O200&gt;($AB$1-$W$1),D200&gt;$Z$4),"",IF(AND(B200&gt;=$T$1,(F200-E200)&gt;($AB$1-$W$1)),"",IF(AND(D200&gt;=$Y$4,I200=$Z$8,S200=""),($AB$1-(F200-E200)),IF(AND(P200&lt;&gt;"",S200&lt;&gt;""),I200-$Z$8,IF(AND(P200&lt;&gt;"",D200&gt;$Y$4),$AB$1-(F200-E200),"")))))))))))))))))</f>
        <v/>
      </c>
      <c r="M200" s="107" t="str">
        <f>IFERROR(IF(H200="","",IF(B200=VLOOKUP(B200,Feriados[],2,0),(H200-D200)-(G200-E200),"")),"")</f>
        <v/>
      </c>
      <c r="N200" s="38" t="str">
        <f t="shared" si="18"/>
        <v>Qua</v>
      </c>
      <c r="O200" s="112">
        <f t="shared" si="19"/>
        <v>3.8194444444444475E-2</v>
      </c>
      <c r="P200" s="113" t="str">
        <f>IF(B200=_xlfn.XLOOKUP(B200,Feriados[FE Oficial],Feriados[FE Talvez],"",0),"",IF(B200&lt;$T$1,"",IF(Q200="Consulta","",IF(Q200="Compensado","",IF(N200="Sáb","",IF(S200&lt;&gt;"",(S200-R200)-(($AB$1-O200)-(D200-$Z$4)),IF(O200&gt;$AB$1,O200-$AB$1,IF(C200&gt;$Z$4,C200-$Z$4,IF(AND(N200="Sex",G200&lt;&gt;"",H200=""),$Z$3-G200,IF(AND(G200&lt;&gt;"",H200=""),$Z$3-G200,IF(AND(N200="Sex",H200&lt;$Y$3),$Z$3-H200,IF(AND(N200&lt;&gt;"Sex",H200&gt;$AA$8),"",IF(AND(N200="Sex",H200&gt;$Z$8),"",IF(AND(N200&lt;&gt;"Sex",I200&gt;$Z$8),$Z$8-H200,IF(AND(N200&lt;&gt;"Sex",H200&lt;$Y$8),$Z$8-H200,"")))))))))))))))</f>
        <v/>
      </c>
      <c r="Q200" s="33"/>
      <c r="R200" s="33"/>
      <c r="S200" s="33"/>
    </row>
    <row r="201" spans="1:19" x14ac:dyDescent="0.25">
      <c r="A201" s="116" t="s">
        <v>191</v>
      </c>
      <c r="B201" s="32">
        <v>43853</v>
      </c>
      <c r="C201" s="39">
        <f t="shared" si="15"/>
        <v>0.33333333333333331</v>
      </c>
      <c r="D201" s="33">
        <v>0.32847222222222222</v>
      </c>
      <c r="E201" s="33">
        <v>0.5</v>
      </c>
      <c r="F201" s="39">
        <f t="shared" si="16"/>
        <v>0.54166666666666663</v>
      </c>
      <c r="G201" s="33">
        <v>0.54166666666666663</v>
      </c>
      <c r="H201" s="33">
        <v>0.75</v>
      </c>
      <c r="I201" s="39">
        <f>IFERROR(IF(B201=VLOOKUP(B201,Feriados[],2,0),H201,IF(N201="Sáb",H201,IF(AND(B201&lt;$T$1,H201&lt;=$AA$3),$Z$3,IF(AND(N201="Sex",H201&gt;$AA$3),H201,IF(H201&lt;=$AA$3,$Z$3,IF(H201&lt;=$AA$8,$Z$8,H201)))))),IF(N201="Sáb",H201,IF(AND(B201&lt;$T$1,H201&lt;=$AA$3),$Z$3,IF(AND(N201="Sex",H201&gt;$AA$3),H201,IF(H201&lt;=$AA$3,$Z$3,IF(H201&lt;=$AA$8,$Z$8,H201))))))</f>
        <v>0.75</v>
      </c>
      <c r="J201" s="33">
        <f t="shared" si="17"/>
        <v>0.375</v>
      </c>
      <c r="K201" s="33">
        <f>IFERROR(IF(H201="","",IF(B201=VLOOKUP(B201,Feriados[],2,0),(H201-D201)-(G201-E201),IF(D201&lt;=$Y$4,(I201-D201)-(G201-E201),(I201-C201)-(F201-E201)))),IF(AND(D201&lt;=$Y$4,F201-E201=$AB$1),(I201-D201)-(F201-E201),IF(D201&lt;$Y$4,(I201-D201)-(G201-E201),(I201-C201)-(F201-E201))))</f>
        <v>0.37500000000000006</v>
      </c>
      <c r="L201" s="40" t="str">
        <f>IF(B201=_xlfn.XLOOKUP(B201,Feriados[FE Oficial],Feriados[FE Talvez],"",0),"",IF(Q201="Compensado","",IF(AND(N201="Sex",D201&lt;$Y$4),($Z$4-D201)+$AB$1-(F201-E201)+(I201-$Z$3),IF(AND(N201="Sex",I201&gt;$Z$3),($AB$1-(F201-E201))+(I201-$Z$3),IF(AND(N201="Sex",E201&lt;&gt;"",D201&lt;$Y$4),($Z$4-D201)+$AB$1-(F201-E201)+(I201-$Z$3),IF(N201="Sáb",(I201-D201)-(G201-E201)-(S201-R201),IF(AND(B201&lt;$T$1,I201&gt;$Z$3),H201-$Z$3,IF(D201&lt;$Y$4,($Z$4-D201)+($AB$1-(F201-E201))+(I201-$Z$8)+(S201-R201),IF(AND(S201&lt;&gt;"",D201&gt;$Z$4),(S201-R201)-($AB$1-(F201-E201)),IF(AND(S201&lt;&gt;"",D201&lt;$Y$4),(S201-R201)-($AB$1-(F201-E201)+($Z$4-D201)),IF(I201&gt;$Z$8,($AB$1-(F201-E201))+(I201-$Z$8),IF(AND(N201="Sex",(F201-E201)&lt;($AB$1-$W$1)),($AB$1-(F201-E201)),IF(AND(O201&gt;($AB$1-$W$1),D201&gt;$Z$4),"",IF(AND(B201&gt;=$T$1,(F201-E201)&gt;($AB$1-$W$1)),"",IF(AND(D201&gt;=$Y$4,I201=$Z$8,S201=""),($AB$1-(F201-E201)),IF(AND(P201&lt;&gt;"",S201&lt;&gt;""),I201-$Z$8,IF(AND(P201&lt;&gt;"",D201&gt;$Y$4),$AB$1-(F201-E201),"")))))))))))))))))</f>
        <v/>
      </c>
      <c r="M201" s="107" t="str">
        <f>IFERROR(IF(H201="","",IF(B201=VLOOKUP(B201,Feriados[],2,0),(H201-D201)-(G201-E201),"")),"")</f>
        <v/>
      </c>
      <c r="N201" s="38" t="str">
        <f t="shared" si="18"/>
        <v>Qua</v>
      </c>
      <c r="O201" s="112">
        <f t="shared" si="19"/>
        <v>4.166666666666663E-2</v>
      </c>
      <c r="P201" s="113" t="str">
        <f>IF(B201=_xlfn.XLOOKUP(B201,Feriados[FE Oficial],Feriados[FE Talvez],"",0),"",IF(B201&lt;$T$1,"",IF(Q201="Consulta","",IF(Q201="Compensado","",IF(N201="Sáb","",IF(S201&lt;&gt;"",(S201-R201)-(($AB$1-O201)-(D201-$Z$4)),IF(O201&gt;$AB$1,O201-$AB$1,IF(C201&gt;$Z$4,C201-$Z$4,IF(AND(N201="Sex",G201&lt;&gt;"",H201=""),$Z$3-G201,IF(AND(G201&lt;&gt;"",H201=""),$Z$3-G201,IF(AND(N201="Sex",H201&lt;$Y$3),$Z$3-H201,IF(AND(N201&lt;&gt;"Sex",H201&gt;$AA$8),"",IF(AND(N201="Sex",H201&gt;$Z$8),"",IF(AND(N201&lt;&gt;"Sex",I201&gt;$Z$8),$Z$8-H201,IF(AND(N201&lt;&gt;"Sex",H201&lt;$Y$8),$Z$8-H201,"")))))))))))))))</f>
        <v/>
      </c>
      <c r="Q201" s="33"/>
      <c r="R201" s="33"/>
      <c r="S201" s="33"/>
    </row>
    <row r="202" spans="1:19" x14ac:dyDescent="0.25">
      <c r="A202" s="116" t="s">
        <v>198</v>
      </c>
      <c r="B202" s="32">
        <v>43853</v>
      </c>
      <c r="C202" s="39">
        <f t="shared" si="15"/>
        <v>0.33333333333333331</v>
      </c>
      <c r="D202" s="33">
        <v>0.32847222222222222</v>
      </c>
      <c r="E202" s="33">
        <v>0.5</v>
      </c>
      <c r="F202" s="39">
        <f t="shared" si="16"/>
        <v>0.54166666666666663</v>
      </c>
      <c r="G202" s="33">
        <v>0.54166666666666663</v>
      </c>
      <c r="H202" s="33">
        <v>0.75</v>
      </c>
      <c r="I202" s="39">
        <f>IFERROR(IF(B202=VLOOKUP(B202,Feriados[],2,0),H202,IF(N202="Sáb",H202,IF(AND(B202&lt;$T$1,H202&lt;=$AA$3),$Z$3,IF(AND(N202="Sex",H202&gt;$AA$3),H202,IF(H202&lt;=$AA$3,$Z$3,IF(H202&lt;=$AA$8,$Z$8,H202)))))),IF(N202="Sáb",H202,IF(AND(B202&lt;$T$1,H202&lt;=$AA$3),$Z$3,IF(AND(N202="Sex",H202&gt;$AA$3),H202,IF(H202&lt;=$AA$3,$Z$3,IF(H202&lt;=$AA$8,$Z$8,H202))))))</f>
        <v>0.75</v>
      </c>
      <c r="J202" s="33">
        <f t="shared" si="17"/>
        <v>0.375</v>
      </c>
      <c r="K202" s="33">
        <f>IFERROR(IF(H202="","",IF(B202=VLOOKUP(B202,Feriados[],2,0),(H202-D202)-(G202-E202),IF(D202&lt;=$Y$4,(I202-D202)-(G202-E202),(I202-C202)-(F202-E202)))),IF(AND(D202&lt;=$Y$4,F202-E202=$AB$1),(I202-D202)-(F202-E202),IF(D202&lt;$Y$4,(I202-D202)-(G202-E202),(I202-C202)-(F202-E202))))</f>
        <v>0.37500000000000006</v>
      </c>
      <c r="L202" s="40" t="str">
        <f>IF(B202=_xlfn.XLOOKUP(B202,Feriados[FE Oficial],Feriados[FE Talvez],"",0),"",IF(Q202="Compensado","",IF(AND(N202="Sex",D202&lt;$Y$4),($Z$4-D202)+$AB$1-(F202-E202)+(I202-$Z$3),IF(AND(N202="Sex",I202&gt;$Z$3),($AB$1-(F202-E202))+(I202-$Z$3),IF(AND(N202="Sex",E202&lt;&gt;"",D202&lt;$Y$4),($Z$4-D202)+$AB$1-(F202-E202)+(I202-$Z$3),IF(N202="Sáb",(I202-D202)-(G202-E202)-(S202-R202),IF(AND(B202&lt;$T$1,I202&gt;$Z$3),H202-$Z$3,IF(D202&lt;$Y$4,($Z$4-D202)+($AB$1-(F202-E202))+(I202-$Z$8)+(S202-R202),IF(AND(S202&lt;&gt;"",D202&gt;$Z$4),(S202-R202)-($AB$1-(F202-E202)),IF(AND(S202&lt;&gt;"",D202&lt;$Y$4),(S202-R202)-($AB$1-(F202-E202)+($Z$4-D202)),IF(I202&gt;$Z$8,($AB$1-(F202-E202))+(I202-$Z$8),IF(AND(N202="Sex",(F202-E202)&lt;($AB$1-$W$1)),($AB$1-(F202-E202)),IF(AND(O202&gt;($AB$1-$W$1),D202&gt;$Z$4),"",IF(AND(B202&gt;=$T$1,(F202-E202)&gt;($AB$1-$W$1)),"",IF(AND(D202&gt;=$Y$4,I202=$Z$8,S202=""),($AB$1-(F202-E202)),IF(AND(P202&lt;&gt;"",S202&lt;&gt;""),I202-$Z$8,IF(AND(P202&lt;&gt;"",D202&gt;$Y$4),$AB$1-(F202-E202),"")))))))))))))))))</f>
        <v/>
      </c>
      <c r="M202" s="107" t="str">
        <f>IFERROR(IF(H202="","",IF(B202=VLOOKUP(B202,Feriados[],2,0),(H202-D202)-(G202-E202),"")),"")</f>
        <v/>
      </c>
      <c r="N202" s="38" t="str">
        <f t="shared" si="18"/>
        <v>Qua</v>
      </c>
      <c r="O202" s="112">
        <f t="shared" si="19"/>
        <v>4.166666666666663E-2</v>
      </c>
      <c r="P202" s="113" t="str">
        <f>IF(B202=_xlfn.XLOOKUP(B202,Feriados[FE Oficial],Feriados[FE Talvez],"",0),"",IF(B202&lt;$T$1,"",IF(Q202="Consulta","",IF(Q202="Compensado","",IF(N202="Sáb","",IF(S202&lt;&gt;"",(S202-R202)-(($AB$1-O202)-(D202-$Z$4)),IF(O202&gt;$AB$1,O202-$AB$1,IF(C202&gt;$Z$4,C202-$Z$4,IF(AND(N202="Sex",G202&lt;&gt;"",H202=""),$Z$3-G202,IF(AND(G202&lt;&gt;"",H202=""),$Z$3-G202,IF(AND(N202="Sex",H202&lt;$Y$3),$Z$3-H202,IF(AND(N202&lt;&gt;"Sex",H202&gt;$AA$8),"",IF(AND(N202="Sex",H202&gt;$Z$8),"",IF(AND(N202&lt;&gt;"Sex",I202&gt;$Z$8),$Z$8-H202,IF(AND(N202&lt;&gt;"Sex",H202&lt;$Y$8),$Z$8-H202,"")))))))))))))))</f>
        <v/>
      </c>
      <c r="Q202" s="33"/>
      <c r="R202" s="33"/>
      <c r="S202" s="33"/>
    </row>
    <row r="203" spans="1:19" x14ac:dyDescent="0.25">
      <c r="A203" s="115" t="s">
        <v>199</v>
      </c>
      <c r="B203" s="32">
        <v>43853</v>
      </c>
      <c r="C203" s="39">
        <f t="shared" si="15"/>
        <v>0.33333333333333331</v>
      </c>
      <c r="D203" s="33">
        <v>0.32847222222222222</v>
      </c>
      <c r="E203" s="33">
        <v>0.5</v>
      </c>
      <c r="F203" s="39">
        <f t="shared" si="16"/>
        <v>0.54166666666666663</v>
      </c>
      <c r="G203" s="33">
        <v>0.54166666666666663</v>
      </c>
      <c r="H203" s="33">
        <v>0.75</v>
      </c>
      <c r="I203" s="39">
        <f>IFERROR(IF(B203=VLOOKUP(B203,Feriados[],2,0),H203,IF(N203="Sáb",H203,IF(AND(B203&lt;$T$1,H203&lt;=$AA$3),$Z$3,IF(AND(N203="Sex",H203&gt;$AA$3),H203,IF(H203&lt;=$AA$3,$Z$3,IF(H203&lt;=$AA$8,$Z$8,H203)))))),IF(N203="Sáb",H203,IF(AND(B203&lt;$T$1,H203&lt;=$AA$3),$Z$3,IF(AND(N203="Sex",H203&gt;$AA$3),H203,IF(H203&lt;=$AA$3,$Z$3,IF(H203&lt;=$AA$8,$Z$8,H203))))))</f>
        <v>0.75</v>
      </c>
      <c r="J203" s="33">
        <f t="shared" si="17"/>
        <v>0.375</v>
      </c>
      <c r="K203" s="33">
        <f>IFERROR(IF(H203="","",IF(B203=VLOOKUP(B203,Feriados[],2,0),(H203-D203)-(G203-E203),IF(D203&lt;=$Y$4,(I203-D203)-(G203-E203),(I203-C203)-(F203-E203)))),IF(AND(D203&lt;=$Y$4,F203-E203=$AB$1),(I203-D203)-(F203-E203),IF(D203&lt;$Y$4,(I203-D203)-(G203-E203),(I203-C203)-(F203-E203))))</f>
        <v>0.37500000000000006</v>
      </c>
      <c r="L203" s="40" t="str">
        <f>IF(B203=_xlfn.XLOOKUP(B203,Feriados[FE Oficial],Feriados[FE Talvez],"",0),"",IF(Q203="Compensado","",IF(AND(N203="Sex",D203&lt;$Y$4),($Z$4-D203)+$AB$1-(F203-E203)+(I203-$Z$3),IF(AND(N203="Sex",I203&gt;$Z$3),($AB$1-(F203-E203))+(I203-$Z$3),IF(AND(N203="Sex",E203&lt;&gt;"",D203&lt;$Y$4),($Z$4-D203)+$AB$1-(F203-E203)+(I203-$Z$3),IF(N203="Sáb",(I203-D203)-(G203-E203)-(S203-R203),IF(AND(B203&lt;$T$1,I203&gt;$Z$3),H203-$Z$3,IF(D203&lt;$Y$4,($Z$4-D203)+($AB$1-(F203-E203))+(I203-$Z$8)+(S203-R203),IF(AND(S203&lt;&gt;"",D203&gt;$Z$4),(S203-R203)-($AB$1-(F203-E203)),IF(AND(S203&lt;&gt;"",D203&lt;$Y$4),(S203-R203)-($AB$1-(F203-E203)+($Z$4-D203)),IF(I203&gt;$Z$8,($AB$1-(F203-E203))+(I203-$Z$8),IF(AND(N203="Sex",(F203-E203)&lt;($AB$1-$W$1)),($AB$1-(F203-E203)),IF(AND(O203&gt;($AB$1-$W$1),D203&gt;$Z$4),"",IF(AND(B203&gt;=$T$1,(F203-E203)&gt;($AB$1-$W$1)),"",IF(AND(D203&gt;=$Y$4,I203=$Z$8,S203=""),($AB$1-(F203-E203)),IF(AND(P203&lt;&gt;"",S203&lt;&gt;""),I203-$Z$8,IF(AND(P203&lt;&gt;"",D203&gt;$Y$4),$AB$1-(F203-E203),"")))))))))))))))))</f>
        <v/>
      </c>
      <c r="M203" s="107" t="str">
        <f>IFERROR(IF(H203="","",IF(B203=VLOOKUP(B203,Feriados[],2,0),(H203-D203)-(G203-E203),"")),"")</f>
        <v/>
      </c>
      <c r="N203" s="38" t="str">
        <f t="shared" si="18"/>
        <v>Qua</v>
      </c>
      <c r="O203" s="112">
        <f t="shared" si="19"/>
        <v>4.166666666666663E-2</v>
      </c>
      <c r="P203" s="113" t="str">
        <f>IF(B203=_xlfn.XLOOKUP(B203,Feriados[FE Oficial],Feriados[FE Talvez],"",0),"",IF(B203&lt;$T$1,"",IF(Q203="Consulta","",IF(Q203="Compensado","",IF(N203="Sáb","",IF(S203&lt;&gt;"",(S203-R203)-(($AB$1-O203)-(D203-$Z$4)),IF(O203&gt;$AB$1,O203-$AB$1,IF(C203&gt;$Z$4,C203-$Z$4,IF(AND(N203="Sex",G203&lt;&gt;"",H203=""),$Z$3-G203,IF(AND(G203&lt;&gt;"",H203=""),$Z$3-G203,IF(AND(N203="Sex",H203&lt;$Y$3),$Z$3-H203,IF(AND(N203&lt;&gt;"Sex",H203&gt;$AA$8),"",IF(AND(N203="Sex",H203&gt;$Z$8),"",IF(AND(N203&lt;&gt;"Sex",I203&gt;$Z$8),$Z$8-H203,IF(AND(N203&lt;&gt;"Sex",H203&lt;$Y$8),$Z$8-H203,"")))))))))))))))</f>
        <v/>
      </c>
      <c r="Q203" s="33"/>
      <c r="R203" s="33"/>
      <c r="S203" s="33"/>
    </row>
    <row r="204" spans="1:19" x14ac:dyDescent="0.25">
      <c r="A204" s="115" t="s">
        <v>200</v>
      </c>
      <c r="B204" s="32">
        <v>43853</v>
      </c>
      <c r="C204" s="39">
        <f t="shared" si="15"/>
        <v>0.33333333333333331</v>
      </c>
      <c r="D204" s="33">
        <v>0.32847222222222222</v>
      </c>
      <c r="E204" s="33">
        <v>0.5</v>
      </c>
      <c r="F204" s="39">
        <f t="shared" si="16"/>
        <v>0.54166666666666663</v>
      </c>
      <c r="G204" s="33">
        <v>0.54166666666666663</v>
      </c>
      <c r="H204" s="33">
        <v>0.75</v>
      </c>
      <c r="I204" s="39">
        <f>IFERROR(IF(B204=VLOOKUP(B204,Feriados[],2,0),H204,IF(N204="Sáb",H204,IF(AND(B204&lt;$T$1,H204&lt;=$AA$3),$Z$3,IF(AND(N204="Sex",H204&gt;$AA$3),H204,IF(H204&lt;=$AA$3,$Z$3,IF(H204&lt;=$AA$8,$Z$8,H204)))))),IF(N204="Sáb",H204,IF(AND(B204&lt;$T$1,H204&lt;=$AA$3),$Z$3,IF(AND(N204="Sex",H204&gt;$AA$3),H204,IF(H204&lt;=$AA$3,$Z$3,IF(H204&lt;=$AA$8,$Z$8,H204))))))</f>
        <v>0.75</v>
      </c>
      <c r="J204" s="33">
        <f t="shared" si="17"/>
        <v>0.375</v>
      </c>
      <c r="K204" s="33">
        <f>IFERROR(IF(H204="","",IF(B204=VLOOKUP(B204,Feriados[],2,0),(H204-D204)-(G204-E204),IF(D204&lt;=$Y$4,(I204-D204)-(G204-E204),(I204-C204)-(F204-E204)))),IF(AND(D204&lt;=$Y$4,F204-E204=$AB$1),(I204-D204)-(F204-E204),IF(D204&lt;$Y$4,(I204-D204)-(G204-E204),(I204-C204)-(F204-E204))))</f>
        <v>0.37500000000000006</v>
      </c>
      <c r="L204" s="40" t="str">
        <f>IF(B204=_xlfn.XLOOKUP(B204,Feriados[FE Oficial],Feriados[FE Talvez],"",0),"",IF(Q204="Compensado","",IF(AND(N204="Sex",D204&lt;$Y$4),($Z$4-D204)+$AB$1-(F204-E204)+(I204-$Z$3),IF(AND(N204="Sex",I204&gt;$Z$3),($AB$1-(F204-E204))+(I204-$Z$3),IF(AND(N204="Sex",E204&lt;&gt;"",D204&lt;$Y$4),($Z$4-D204)+$AB$1-(F204-E204)+(I204-$Z$3),IF(N204="Sáb",(I204-D204)-(G204-E204)-(S204-R204),IF(AND(B204&lt;$T$1,I204&gt;$Z$3),H204-$Z$3,IF(D204&lt;$Y$4,($Z$4-D204)+($AB$1-(F204-E204))+(I204-$Z$8)+(S204-R204),IF(AND(S204&lt;&gt;"",D204&gt;$Z$4),(S204-R204)-($AB$1-(F204-E204)),IF(AND(S204&lt;&gt;"",D204&lt;$Y$4),(S204-R204)-($AB$1-(F204-E204)+($Z$4-D204)),IF(I204&gt;$Z$8,($AB$1-(F204-E204))+(I204-$Z$8),IF(AND(N204="Sex",(F204-E204)&lt;($AB$1-$W$1)),($AB$1-(F204-E204)),IF(AND(O204&gt;($AB$1-$W$1),D204&gt;$Z$4),"",IF(AND(B204&gt;=$T$1,(F204-E204)&gt;($AB$1-$W$1)),"",IF(AND(D204&gt;=$Y$4,I204=$Z$8,S204=""),($AB$1-(F204-E204)),IF(AND(P204&lt;&gt;"",S204&lt;&gt;""),I204-$Z$8,IF(AND(P204&lt;&gt;"",D204&gt;$Y$4),$AB$1-(F204-E204),"")))))))))))))))))</f>
        <v/>
      </c>
      <c r="M204" s="107" t="str">
        <f>IFERROR(IF(H204="","",IF(B204=VLOOKUP(B204,Feriados[],2,0),(H204-D204)-(G204-E204),"")),"")</f>
        <v/>
      </c>
      <c r="N204" s="38" t="str">
        <f t="shared" si="18"/>
        <v>Qua</v>
      </c>
      <c r="O204" s="112">
        <f t="shared" si="19"/>
        <v>4.166666666666663E-2</v>
      </c>
      <c r="P204" s="113" t="str">
        <f>IF(B204=_xlfn.XLOOKUP(B204,Feriados[FE Oficial],Feriados[FE Talvez],"",0),"",IF(B204&lt;$T$1,"",IF(Q204="Consulta","",IF(Q204="Compensado","",IF(N204="Sáb","",IF(S204&lt;&gt;"",(S204-R204)-(($AB$1-O204)-(D204-$Z$4)),IF(O204&gt;$AB$1,O204-$AB$1,IF(C204&gt;$Z$4,C204-$Z$4,IF(AND(N204="Sex",G204&lt;&gt;"",H204=""),$Z$3-G204,IF(AND(G204&lt;&gt;"",H204=""),$Z$3-G204,IF(AND(N204="Sex",H204&lt;$Y$3),$Z$3-H204,IF(AND(N204&lt;&gt;"Sex",H204&gt;$AA$8),"",IF(AND(N204="Sex",H204&gt;$Z$8),"",IF(AND(N204&lt;&gt;"Sex",I204&gt;$Z$8),$Z$8-H204,IF(AND(N204&lt;&gt;"Sex",H204&lt;$Y$8),$Z$8-H204,"")))))))))))))))</f>
        <v/>
      </c>
      <c r="Q204" s="33"/>
      <c r="R204" s="33"/>
      <c r="S204" s="33"/>
    </row>
    <row r="205" spans="1:19" x14ac:dyDescent="0.25">
      <c r="A205" s="116" t="s">
        <v>175</v>
      </c>
      <c r="B205" s="32">
        <v>43854</v>
      </c>
      <c r="C205" s="39">
        <f t="shared" si="15"/>
        <v>0.33333333333333331</v>
      </c>
      <c r="D205" s="33">
        <v>0.33333333333333331</v>
      </c>
      <c r="E205" s="33">
        <v>0.5</v>
      </c>
      <c r="F205" s="39">
        <f t="shared" si="16"/>
        <v>0.54166666666666663</v>
      </c>
      <c r="G205" s="33">
        <v>0.54166666666666663</v>
      </c>
      <c r="H205" s="33">
        <v>0.75</v>
      </c>
      <c r="I205" s="39">
        <f>IFERROR(IF(B205=VLOOKUP(B205,Feriados[],2,0),H205,IF(N205="Sáb",H205,IF(AND(B205&lt;$T$1,H205&lt;=$AA$3),$Z$3,IF(AND(N205="Sex",H205&gt;$AA$3),H205,IF(H205&lt;=$AA$3,$Z$3,IF(H205&lt;=$AA$8,$Z$8,H205)))))),IF(N205="Sáb",H205,IF(AND(B205&lt;$T$1,H205&lt;=$AA$3),$Z$3,IF(AND(N205="Sex",H205&gt;$AA$3),H205,IF(H205&lt;=$AA$3,$Z$3,IF(H205&lt;=$AA$8,$Z$8,H205))))))</f>
        <v>0.75</v>
      </c>
      <c r="J205" s="33">
        <f t="shared" si="17"/>
        <v>0.37500000000000006</v>
      </c>
      <c r="K205" s="33">
        <f>IFERROR(IF(H205="","",IF(B205=VLOOKUP(B205,Feriados[],2,0),(H205-D205)-(G205-E205),IF(D205&lt;=$Y$4,(I205-D205)-(G205-E205),(I205-C205)-(F205-E205)))),IF(AND(D205&lt;=$Y$4,F205-E205=$AB$1),(I205-D205)-(F205-E205),IF(D205&lt;$Y$4,(I205-D205)-(G205-E205),(I205-C205)-(F205-E205))))</f>
        <v>0.37500000000000006</v>
      </c>
      <c r="L205" s="40" t="str">
        <f>IF(B205=_xlfn.XLOOKUP(B205,Feriados[FE Oficial],Feriados[FE Talvez],"",0),"",IF(Q205="Compensado","",IF(AND(N205="Sex",D205&lt;$Y$4),($Z$4-D205)+$AB$1-(F205-E205)+(I205-$Z$3),IF(AND(N205="Sex",I205&gt;$Z$3),($AB$1-(F205-E205))+(I205-$Z$3),IF(AND(N205="Sex",E205&lt;&gt;"",D205&lt;$Y$4),($Z$4-D205)+$AB$1-(F205-E205)+(I205-$Z$3),IF(N205="Sáb",(I205-D205)-(G205-E205)-(S205-R205),IF(AND(B205&lt;$T$1,I205&gt;$Z$3),H205-$Z$3,IF(D205&lt;$Y$4,($Z$4-D205)+($AB$1-(F205-E205))+(I205-$Z$8)+(S205-R205),IF(AND(S205&lt;&gt;"",D205&gt;$Z$4),(S205-R205)-($AB$1-(F205-E205)),IF(AND(S205&lt;&gt;"",D205&lt;$Y$4),(S205-R205)-($AB$1-(F205-E205)+($Z$4-D205)),IF(I205&gt;$Z$8,($AB$1-(F205-E205))+(I205-$Z$8),IF(AND(N205="Sex",(F205-E205)&lt;($AB$1-$W$1)),($AB$1-(F205-E205)),IF(AND(O205&gt;($AB$1-$W$1),D205&gt;$Z$4),"",IF(AND(B205&gt;=$T$1,(F205-E205)&gt;($AB$1-$W$1)),"",IF(AND(D205&gt;=$Y$4,I205=$Z$8,S205=""),($AB$1-(F205-E205)),IF(AND(P205&lt;&gt;"",S205&lt;&gt;""),I205-$Z$8,IF(AND(P205&lt;&gt;"",D205&gt;$Y$4),$AB$1-(F205-E205),"")))))))))))))))))</f>
        <v/>
      </c>
      <c r="M205" s="107" t="str">
        <f>IFERROR(IF(H205="","",IF(B205=VLOOKUP(B205,Feriados[],2,0),(H205-D205)-(G205-E205),"")),"")</f>
        <v/>
      </c>
      <c r="N205" s="38" t="str">
        <f t="shared" si="18"/>
        <v>Qui</v>
      </c>
      <c r="O205" s="112">
        <f t="shared" si="19"/>
        <v>4.166666666666663E-2</v>
      </c>
      <c r="P205" s="113" t="str">
        <f>IF(B205=_xlfn.XLOOKUP(B205,Feriados[FE Oficial],Feriados[FE Talvez],"",0),"",IF(B205&lt;$T$1,"",IF(Q205="Consulta","",IF(Q205="Compensado","",IF(N205="Sáb","",IF(S205&lt;&gt;"",(S205-R205)-(($AB$1-O205)-(D205-$Z$4)),IF(O205&gt;$AB$1,O205-$AB$1,IF(C205&gt;$Z$4,C205-$Z$4,IF(AND(N205="Sex",G205&lt;&gt;"",H205=""),$Z$3-G205,IF(AND(G205&lt;&gt;"",H205=""),$Z$3-G205,IF(AND(N205="Sex",H205&lt;$Y$3),$Z$3-H205,IF(AND(N205&lt;&gt;"Sex",H205&gt;$AA$8),"",IF(AND(N205="Sex",H205&gt;$Z$8),"",IF(AND(N205&lt;&gt;"Sex",I205&gt;$Z$8),$Z$8-H205,IF(AND(N205&lt;&gt;"Sex",H205&lt;$Y$8),$Z$8-H205,"")))))))))))))))</f>
        <v/>
      </c>
      <c r="Q205" s="33"/>
      <c r="R205" s="33"/>
      <c r="S205" s="33"/>
    </row>
    <row r="206" spans="1:19" x14ac:dyDescent="0.25">
      <c r="A206" s="116" t="s">
        <v>190</v>
      </c>
      <c r="B206" s="32">
        <v>43854</v>
      </c>
      <c r="C206" s="39">
        <f t="shared" si="15"/>
        <v>0.33333333333333331</v>
      </c>
      <c r="D206" s="33">
        <v>0.33333333333333331</v>
      </c>
      <c r="E206" s="33">
        <v>0.47916666666666669</v>
      </c>
      <c r="F206" s="39">
        <f t="shared" si="16"/>
        <v>0.52083333333333337</v>
      </c>
      <c r="G206" s="33">
        <v>0.52083333333333337</v>
      </c>
      <c r="H206" s="33">
        <v>0.75</v>
      </c>
      <c r="I206" s="39">
        <f>IFERROR(IF(B206=VLOOKUP(B206,Feriados[],2,0),H206,IF(N206="Sáb",H206,IF(AND(B206&lt;$T$1,H206&lt;=$AA$3),$Z$3,IF(AND(N206="Sex",H206&gt;$AA$3),H206,IF(H206&lt;=$AA$3,$Z$3,IF(H206&lt;=$AA$8,$Z$8,H206)))))),IF(N206="Sáb",H206,IF(AND(B206&lt;$T$1,H206&lt;=$AA$3),$Z$3,IF(AND(N206="Sex",H206&gt;$AA$3),H206,IF(H206&lt;=$AA$3,$Z$3,IF(H206&lt;=$AA$8,$Z$8,H206))))))</f>
        <v>0.75</v>
      </c>
      <c r="J206" s="33">
        <f t="shared" si="17"/>
        <v>0.375</v>
      </c>
      <c r="K206" s="33">
        <f>IFERROR(IF(H206="","",IF(B206=VLOOKUP(B206,Feriados[],2,0),(H206-D206)-(G206-E206),IF(D206&lt;=$Y$4,(I206-D206)-(G206-E206),(I206-C206)-(F206-E206)))),IF(AND(D206&lt;=$Y$4,F206-E206=$AB$1),(I206-D206)-(F206-E206),IF(D206&lt;$Y$4,(I206-D206)-(G206-E206),(I206-C206)-(F206-E206))))</f>
        <v>0.375</v>
      </c>
      <c r="L206" s="40" t="str">
        <f>IF(B206=_xlfn.XLOOKUP(B206,Feriados[FE Oficial],Feriados[FE Talvez],"",0),"",IF(Q206="Compensado","",IF(AND(N206="Sex",D206&lt;$Y$4),($Z$4-D206)+$AB$1-(F206-E206)+(I206-$Z$3),IF(AND(N206="Sex",I206&gt;$Z$3),($AB$1-(F206-E206))+(I206-$Z$3),IF(AND(N206="Sex",E206&lt;&gt;"",D206&lt;$Y$4),($Z$4-D206)+$AB$1-(F206-E206)+(I206-$Z$3),IF(N206="Sáb",(I206-D206)-(G206-E206)-(S206-R206),IF(AND(B206&lt;$T$1,I206&gt;$Z$3),H206-$Z$3,IF(D206&lt;$Y$4,($Z$4-D206)+($AB$1-(F206-E206))+(I206-$Z$8)+(S206-R206),IF(AND(S206&lt;&gt;"",D206&gt;$Z$4),(S206-R206)-($AB$1-(F206-E206)),IF(AND(S206&lt;&gt;"",D206&lt;$Y$4),(S206-R206)-($AB$1-(F206-E206)+($Z$4-D206)),IF(I206&gt;$Z$8,($AB$1-(F206-E206))+(I206-$Z$8),IF(AND(N206="Sex",(F206-E206)&lt;($AB$1-$W$1)),($AB$1-(F206-E206)),IF(AND(O206&gt;($AB$1-$W$1),D206&gt;$Z$4),"",IF(AND(B206&gt;=$T$1,(F206-E206)&gt;($AB$1-$W$1)),"",IF(AND(D206&gt;=$Y$4,I206=$Z$8,S206=""),($AB$1-(F206-E206)),IF(AND(P206&lt;&gt;"",S206&lt;&gt;""),I206-$Z$8,IF(AND(P206&lt;&gt;"",D206&gt;$Y$4),$AB$1-(F206-E206),"")))))))))))))))))</f>
        <v/>
      </c>
      <c r="M206" s="107" t="str">
        <f>IFERROR(IF(H206="","",IF(B206=VLOOKUP(B206,Feriados[],2,0),(H206-D206)-(G206-E206),"")),"")</f>
        <v/>
      </c>
      <c r="N206" s="38" t="str">
        <f t="shared" si="18"/>
        <v>Qui</v>
      </c>
      <c r="O206" s="112">
        <f t="shared" si="19"/>
        <v>4.1666666666666685E-2</v>
      </c>
      <c r="P206" s="113" t="str">
        <f>IF(B206=_xlfn.XLOOKUP(B206,Feriados[FE Oficial],Feriados[FE Talvez],"",0),"",IF(B206&lt;$T$1,"",IF(Q206="Consulta","",IF(Q206="Compensado","",IF(N206="Sáb","",IF(S206&lt;&gt;"",(S206-R206)-(($AB$1-O206)-(D206-$Z$4)),IF(O206&gt;$AB$1,O206-$AB$1,IF(C206&gt;$Z$4,C206-$Z$4,IF(AND(N206="Sex",G206&lt;&gt;"",H206=""),$Z$3-G206,IF(AND(G206&lt;&gt;"",H206=""),$Z$3-G206,IF(AND(N206="Sex",H206&lt;$Y$3),$Z$3-H206,IF(AND(N206&lt;&gt;"Sex",H206&gt;$AA$8),"",IF(AND(N206="Sex",H206&gt;$Z$8),"",IF(AND(N206&lt;&gt;"Sex",I206&gt;$Z$8),$Z$8-H206,IF(AND(N206&lt;&gt;"Sex",H206&lt;$Y$8),$Z$8-H206,"")))))))))))))))</f>
        <v/>
      </c>
      <c r="Q206" s="33"/>
      <c r="R206" s="33"/>
      <c r="S206" s="33"/>
    </row>
    <row r="207" spans="1:19" x14ac:dyDescent="0.25">
      <c r="A207" s="116" t="s">
        <v>194</v>
      </c>
      <c r="B207" s="32">
        <v>43854</v>
      </c>
      <c r="C207" s="39">
        <f t="shared" si="15"/>
        <v>0.33333333333333331</v>
      </c>
      <c r="D207" s="33">
        <v>0.29166666666666669</v>
      </c>
      <c r="E207" s="33">
        <v>0.5</v>
      </c>
      <c r="F207" s="39">
        <f t="shared" si="16"/>
        <v>0.54166666666666663</v>
      </c>
      <c r="G207" s="33">
        <v>0.54166666666666663</v>
      </c>
      <c r="H207" s="33">
        <v>0.75</v>
      </c>
      <c r="I207" s="39">
        <f>IFERROR(IF(B207=VLOOKUP(B207,Feriados[],2,0),H207,IF(N207="Sáb",H207,IF(AND(B207&lt;$T$1,H207&lt;=$AA$3),$Z$3,IF(AND(N207="Sex",H207&gt;$AA$3),H207,IF(H207&lt;=$AA$3,$Z$3,IF(H207&lt;=$AA$8,$Z$8,H207)))))),IF(N207="Sáb",H207,IF(AND(B207&lt;$T$1,H207&lt;=$AA$3),$Z$3,IF(AND(N207="Sex",H207&gt;$AA$3),H207,IF(H207&lt;=$AA$3,$Z$3,IF(H207&lt;=$AA$8,$Z$8,H207))))))</f>
        <v>0.75</v>
      </c>
      <c r="J207" s="33">
        <f t="shared" si="17"/>
        <v>0.375</v>
      </c>
      <c r="K207" s="33">
        <f>IFERROR(IF(H207="","",IF(B207=VLOOKUP(B207,Feriados[],2,0),(H207-D207)-(G207-E207),IF(D207&lt;=$Y$4,(I207-D207)-(G207-E207),(I207-C207)-(F207-E207)))),IF(AND(D207&lt;=$Y$4,F207-E207=$AB$1),(I207-D207)-(F207-E207),IF(D207&lt;$Y$4,(I207-D207)-(G207-E207),(I207-C207)-(F207-E207))))</f>
        <v>0.41666666666666669</v>
      </c>
      <c r="L207" s="40">
        <f>IF(B207=_xlfn.XLOOKUP(B207,Feriados[FE Oficial],Feriados[FE Talvez],"",0),"",IF(Q207="Compensado","",IF(AND(N207="Sex",D207&lt;$Y$4),($Z$4-D207)+$AB$1-(F207-E207)+(I207-$Z$3),IF(AND(N207="Sex",I207&gt;$Z$3),($AB$1-(F207-E207))+(I207-$Z$3),IF(AND(N207="Sex",E207&lt;&gt;"",D207&lt;$Y$4),($Z$4-D207)+$AB$1-(F207-E207)+(I207-$Z$3),IF(N207="Sáb",(I207-D207)-(G207-E207)-(S207-R207),IF(AND(B207&lt;$T$1,I207&gt;$Z$3),H207-$Z$3,IF(D207&lt;$Y$4,($Z$4-D207)+($AB$1-(F207-E207))+(I207-$Z$8)+(S207-R207),IF(AND(S207&lt;&gt;"",D207&gt;$Z$4),(S207-R207)-($AB$1-(F207-E207)),IF(AND(S207&lt;&gt;"",D207&lt;$Y$4),(S207-R207)-($AB$1-(F207-E207)+($Z$4-D207)),IF(I207&gt;$Z$8,($AB$1-(F207-E207))+(I207-$Z$8),IF(AND(N207="Sex",(F207-E207)&lt;($AB$1-$W$1)),($AB$1-(F207-E207)),IF(AND(O207&gt;($AB$1-$W$1),D207&gt;$Z$4),"",IF(AND(B207&gt;=$T$1,(F207-E207)&gt;($AB$1-$W$1)),"",IF(AND(D207&gt;=$Y$4,I207=$Z$8,S207=""),($AB$1-(F207-E207)),IF(AND(P207&lt;&gt;"",S207&lt;&gt;""),I207-$Z$8,IF(AND(P207&lt;&gt;"",D207&gt;$Y$4),$AB$1-(F207-E207),"")))))))))))))))))</f>
        <v>4.1666666666666664E-2</v>
      </c>
      <c r="M207" s="107" t="str">
        <f>IFERROR(IF(H207="","",IF(B207=VLOOKUP(B207,Feriados[],2,0),(H207-D207)-(G207-E207),"")),"")</f>
        <v/>
      </c>
      <c r="N207" s="38" t="str">
        <f t="shared" si="18"/>
        <v>Qui</v>
      </c>
      <c r="O207" s="112">
        <f t="shared" si="19"/>
        <v>4.166666666666663E-2</v>
      </c>
      <c r="P207" s="113" t="str">
        <f>IF(B207=_xlfn.XLOOKUP(B207,Feriados[FE Oficial],Feriados[FE Talvez],"",0),"",IF(B207&lt;$T$1,"",IF(Q207="Consulta","",IF(Q207="Compensado","",IF(N207="Sáb","",IF(S207&lt;&gt;"",(S207-R207)-(($AB$1-O207)-(D207-$Z$4)),IF(O207&gt;$AB$1,O207-$AB$1,IF(C207&gt;$Z$4,C207-$Z$4,IF(AND(N207="Sex",G207&lt;&gt;"",H207=""),$Z$3-G207,IF(AND(G207&lt;&gt;"",H207=""),$Z$3-G207,IF(AND(N207="Sex",H207&lt;$Y$3),$Z$3-H207,IF(AND(N207&lt;&gt;"Sex",H207&gt;$AA$8),"",IF(AND(N207="Sex",H207&gt;$Z$8),"",IF(AND(N207&lt;&gt;"Sex",I207&gt;$Z$8),$Z$8-H207,IF(AND(N207&lt;&gt;"Sex",H207&lt;$Y$8),$Z$8-H207,"")))))))))))))))</f>
        <v/>
      </c>
      <c r="Q207" s="33"/>
      <c r="R207" s="33"/>
      <c r="S207" s="33"/>
    </row>
    <row r="208" spans="1:19" x14ac:dyDescent="0.25">
      <c r="A208" s="116" t="s">
        <v>197</v>
      </c>
      <c r="B208" s="32">
        <v>43854</v>
      </c>
      <c r="C208" s="39">
        <f t="shared" si="15"/>
        <v>0.33333333333333331</v>
      </c>
      <c r="D208" s="33">
        <v>0.33333333333333331</v>
      </c>
      <c r="E208" s="33">
        <v>0.47916666666666669</v>
      </c>
      <c r="F208" s="39">
        <f t="shared" si="16"/>
        <v>0.52083333333333337</v>
      </c>
      <c r="G208" s="33">
        <v>0.52083333333333337</v>
      </c>
      <c r="H208" s="33">
        <v>0.75</v>
      </c>
      <c r="I208" s="39">
        <f>IFERROR(IF(B208=VLOOKUP(B208,Feriados[],2,0),H208,IF(N208="Sáb",H208,IF(AND(B208&lt;$T$1,H208&lt;=$AA$3),$Z$3,IF(AND(N208="Sex",H208&gt;$AA$3),H208,IF(H208&lt;=$AA$3,$Z$3,IF(H208&lt;=$AA$8,$Z$8,H208)))))),IF(N208="Sáb",H208,IF(AND(B208&lt;$T$1,H208&lt;=$AA$3),$Z$3,IF(AND(N208="Sex",H208&gt;$AA$3),H208,IF(H208&lt;=$AA$3,$Z$3,IF(H208&lt;=$AA$8,$Z$8,H208))))))</f>
        <v>0.75</v>
      </c>
      <c r="J208" s="33">
        <f t="shared" si="17"/>
        <v>0.375</v>
      </c>
      <c r="K208" s="33">
        <f>IFERROR(IF(H208="","",IF(B208=VLOOKUP(B208,Feriados[],2,0),(H208-D208)-(G208-E208),IF(D208&lt;=$Y$4,(I208-D208)-(G208-E208),(I208-C208)-(F208-E208)))),IF(AND(D208&lt;=$Y$4,F208-E208=$AB$1),(I208-D208)-(F208-E208),IF(D208&lt;$Y$4,(I208-D208)-(G208-E208),(I208-C208)-(F208-E208))))</f>
        <v>0.375</v>
      </c>
      <c r="L208" s="40" t="str">
        <f>IF(B208=_xlfn.XLOOKUP(B208,Feriados[FE Oficial],Feriados[FE Talvez],"",0),"",IF(Q208="Compensado","",IF(AND(N208="Sex",D208&lt;$Y$4),($Z$4-D208)+$AB$1-(F208-E208)+(I208-$Z$3),IF(AND(N208="Sex",I208&gt;$Z$3),($AB$1-(F208-E208))+(I208-$Z$3),IF(AND(N208="Sex",E208&lt;&gt;"",D208&lt;$Y$4),($Z$4-D208)+$AB$1-(F208-E208)+(I208-$Z$3),IF(N208="Sáb",(I208-D208)-(G208-E208)-(S208-R208),IF(AND(B208&lt;$T$1,I208&gt;$Z$3),H208-$Z$3,IF(D208&lt;$Y$4,($Z$4-D208)+($AB$1-(F208-E208))+(I208-$Z$8)+(S208-R208),IF(AND(S208&lt;&gt;"",D208&gt;$Z$4),(S208-R208)-($AB$1-(F208-E208)),IF(AND(S208&lt;&gt;"",D208&lt;$Y$4),(S208-R208)-($AB$1-(F208-E208)+($Z$4-D208)),IF(I208&gt;$Z$8,($AB$1-(F208-E208))+(I208-$Z$8),IF(AND(N208="Sex",(F208-E208)&lt;($AB$1-$W$1)),($AB$1-(F208-E208)),IF(AND(O208&gt;($AB$1-$W$1),D208&gt;$Z$4),"",IF(AND(B208&gt;=$T$1,(F208-E208)&gt;($AB$1-$W$1)),"",IF(AND(D208&gt;=$Y$4,I208=$Z$8,S208=""),($AB$1-(F208-E208)),IF(AND(P208&lt;&gt;"",S208&lt;&gt;""),I208-$Z$8,IF(AND(P208&lt;&gt;"",D208&gt;$Y$4),$AB$1-(F208-E208),"")))))))))))))))))</f>
        <v/>
      </c>
      <c r="M208" s="107" t="str">
        <f>IFERROR(IF(H208="","",IF(B208=VLOOKUP(B208,Feriados[],2,0),(H208-D208)-(G208-E208),"")),"")</f>
        <v/>
      </c>
      <c r="N208" s="38" t="str">
        <f t="shared" si="18"/>
        <v>Qui</v>
      </c>
      <c r="O208" s="112">
        <f t="shared" si="19"/>
        <v>4.1666666666666685E-2</v>
      </c>
      <c r="P208" s="113" t="str">
        <f>IF(B208=_xlfn.XLOOKUP(B208,Feriados[FE Oficial],Feriados[FE Talvez],"",0),"",IF(B208&lt;$T$1,"",IF(Q208="Consulta","",IF(Q208="Compensado","",IF(N208="Sáb","",IF(S208&lt;&gt;"",(S208-R208)-(($AB$1-O208)-(D208-$Z$4)),IF(O208&gt;$AB$1,O208-$AB$1,IF(C208&gt;$Z$4,C208-$Z$4,IF(AND(N208="Sex",G208&lt;&gt;"",H208=""),$Z$3-G208,IF(AND(G208&lt;&gt;"",H208=""),$Z$3-G208,IF(AND(N208="Sex",H208&lt;$Y$3),$Z$3-H208,IF(AND(N208&lt;&gt;"Sex",H208&gt;$AA$8),"",IF(AND(N208="Sex",H208&gt;$Z$8),"",IF(AND(N208&lt;&gt;"Sex",I208&gt;$Z$8),$Z$8-H208,IF(AND(N208&lt;&gt;"Sex",H208&lt;$Y$8),$Z$8-H208,"")))))))))))))))</f>
        <v/>
      </c>
      <c r="Q208" s="33"/>
      <c r="R208" s="33"/>
      <c r="S208" s="33"/>
    </row>
    <row r="209" spans="1:19" x14ac:dyDescent="0.25">
      <c r="A209" s="116" t="s">
        <v>191</v>
      </c>
      <c r="B209" s="32">
        <v>43854</v>
      </c>
      <c r="C209" s="39">
        <f t="shared" si="15"/>
        <v>0.33333333333333331</v>
      </c>
      <c r="D209" s="33">
        <v>0.33333333333333331</v>
      </c>
      <c r="E209" s="33">
        <v>0.5</v>
      </c>
      <c r="F209" s="39">
        <f t="shared" si="16"/>
        <v>0.54166666666666663</v>
      </c>
      <c r="G209" s="33">
        <v>0.54166666666666663</v>
      </c>
      <c r="H209" s="33">
        <v>0.75</v>
      </c>
      <c r="I209" s="39">
        <f>IFERROR(IF(B209=VLOOKUP(B209,Feriados[],2,0),H209,IF(N209="Sáb",H209,IF(AND(B209&lt;$T$1,H209&lt;=$AA$3),$Z$3,IF(AND(N209="Sex",H209&gt;$AA$3),H209,IF(H209&lt;=$AA$3,$Z$3,IF(H209&lt;=$AA$8,$Z$8,H209)))))),IF(N209="Sáb",H209,IF(AND(B209&lt;$T$1,H209&lt;=$AA$3),$Z$3,IF(AND(N209="Sex",H209&gt;$AA$3),H209,IF(H209&lt;=$AA$3,$Z$3,IF(H209&lt;=$AA$8,$Z$8,H209))))))</f>
        <v>0.75</v>
      </c>
      <c r="J209" s="33">
        <f t="shared" si="17"/>
        <v>0.37500000000000006</v>
      </c>
      <c r="K209" s="33">
        <f>IFERROR(IF(H209="","",IF(B209=VLOOKUP(B209,Feriados[],2,0),(H209-D209)-(G209-E209),IF(D209&lt;=$Y$4,(I209-D209)-(G209-E209),(I209-C209)-(F209-E209)))),IF(AND(D209&lt;=$Y$4,F209-E209=$AB$1),(I209-D209)-(F209-E209),IF(D209&lt;$Y$4,(I209-D209)-(G209-E209),(I209-C209)-(F209-E209))))</f>
        <v>0.37500000000000006</v>
      </c>
      <c r="L209" s="40" t="str">
        <f>IF(B209=_xlfn.XLOOKUP(B209,Feriados[FE Oficial],Feriados[FE Talvez],"",0),"",IF(Q209="Compensado","",IF(AND(N209="Sex",D209&lt;$Y$4),($Z$4-D209)+$AB$1-(F209-E209)+(I209-$Z$3),IF(AND(N209="Sex",I209&gt;$Z$3),($AB$1-(F209-E209))+(I209-$Z$3),IF(AND(N209="Sex",E209&lt;&gt;"",D209&lt;$Y$4),($Z$4-D209)+$AB$1-(F209-E209)+(I209-$Z$3),IF(N209="Sáb",(I209-D209)-(G209-E209)-(S209-R209),IF(AND(B209&lt;$T$1,I209&gt;$Z$3),H209-$Z$3,IF(D209&lt;$Y$4,($Z$4-D209)+($AB$1-(F209-E209))+(I209-$Z$8)+(S209-R209),IF(AND(S209&lt;&gt;"",D209&gt;$Z$4),(S209-R209)-($AB$1-(F209-E209)),IF(AND(S209&lt;&gt;"",D209&lt;$Y$4),(S209-R209)-($AB$1-(F209-E209)+($Z$4-D209)),IF(I209&gt;$Z$8,($AB$1-(F209-E209))+(I209-$Z$8),IF(AND(N209="Sex",(F209-E209)&lt;($AB$1-$W$1)),($AB$1-(F209-E209)),IF(AND(O209&gt;($AB$1-$W$1),D209&gt;$Z$4),"",IF(AND(B209&gt;=$T$1,(F209-E209)&gt;($AB$1-$W$1)),"",IF(AND(D209&gt;=$Y$4,I209=$Z$8,S209=""),($AB$1-(F209-E209)),IF(AND(P209&lt;&gt;"",S209&lt;&gt;""),I209-$Z$8,IF(AND(P209&lt;&gt;"",D209&gt;$Y$4),$AB$1-(F209-E209),"")))))))))))))))))</f>
        <v/>
      </c>
      <c r="M209" s="107" t="str">
        <f>IFERROR(IF(H209="","",IF(B209=VLOOKUP(B209,Feriados[],2,0),(H209-D209)-(G209-E209),"")),"")</f>
        <v/>
      </c>
      <c r="N209" s="38" t="str">
        <f t="shared" si="18"/>
        <v>Qui</v>
      </c>
      <c r="O209" s="112">
        <f t="shared" si="19"/>
        <v>4.166666666666663E-2</v>
      </c>
      <c r="P209" s="113" t="str">
        <f>IF(B209=_xlfn.XLOOKUP(B209,Feriados[FE Oficial],Feriados[FE Talvez],"",0),"",IF(B209&lt;$T$1,"",IF(Q209="Consulta","",IF(Q209="Compensado","",IF(N209="Sáb","",IF(S209&lt;&gt;"",(S209-R209)-(($AB$1-O209)-(D209-$Z$4)),IF(O209&gt;$AB$1,O209-$AB$1,IF(C209&gt;$Z$4,C209-$Z$4,IF(AND(N209="Sex",G209&lt;&gt;"",H209=""),$Z$3-G209,IF(AND(G209&lt;&gt;"",H209=""),$Z$3-G209,IF(AND(N209="Sex",H209&lt;$Y$3),$Z$3-H209,IF(AND(N209&lt;&gt;"Sex",H209&gt;$AA$8),"",IF(AND(N209="Sex",H209&gt;$Z$8),"",IF(AND(N209&lt;&gt;"Sex",I209&gt;$Z$8),$Z$8-H209,IF(AND(N209&lt;&gt;"Sex",H209&lt;$Y$8),$Z$8-H209,"")))))))))))))))</f>
        <v/>
      </c>
      <c r="Q209" s="33"/>
      <c r="R209" s="33"/>
      <c r="S209" s="33"/>
    </row>
    <row r="210" spans="1:19" x14ac:dyDescent="0.25">
      <c r="A210" s="116" t="s">
        <v>198</v>
      </c>
      <c r="B210" s="32">
        <v>43854</v>
      </c>
      <c r="C210" s="39">
        <f t="shared" si="15"/>
        <v>0.33333333333333331</v>
      </c>
      <c r="D210" s="33">
        <v>0.33333333333333331</v>
      </c>
      <c r="E210" s="33">
        <v>0.5</v>
      </c>
      <c r="F210" s="39">
        <f t="shared" si="16"/>
        <v>0.54166666666666663</v>
      </c>
      <c r="G210" s="33">
        <v>0.54166666666666663</v>
      </c>
      <c r="H210" s="33">
        <v>0.75</v>
      </c>
      <c r="I210" s="39">
        <f>IFERROR(IF(B210=VLOOKUP(B210,Feriados[],2,0),H210,IF(N210="Sáb",H210,IF(AND(B210&lt;$T$1,H210&lt;=$AA$3),$Z$3,IF(AND(N210="Sex",H210&gt;$AA$3),H210,IF(H210&lt;=$AA$3,$Z$3,IF(H210&lt;=$AA$8,$Z$8,H210)))))),IF(N210="Sáb",H210,IF(AND(B210&lt;$T$1,H210&lt;=$AA$3),$Z$3,IF(AND(N210="Sex",H210&gt;$AA$3),H210,IF(H210&lt;=$AA$3,$Z$3,IF(H210&lt;=$AA$8,$Z$8,H210))))))</f>
        <v>0.75</v>
      </c>
      <c r="J210" s="33">
        <f t="shared" si="17"/>
        <v>0.37500000000000006</v>
      </c>
      <c r="K210" s="33">
        <f>IFERROR(IF(H210="","",IF(B210=VLOOKUP(B210,Feriados[],2,0),(H210-D210)-(G210-E210),IF(D210&lt;=$Y$4,(I210-D210)-(G210-E210),(I210-C210)-(F210-E210)))),IF(AND(D210&lt;=$Y$4,F210-E210=$AB$1),(I210-D210)-(F210-E210),IF(D210&lt;$Y$4,(I210-D210)-(G210-E210),(I210-C210)-(F210-E210))))</f>
        <v>0.37500000000000006</v>
      </c>
      <c r="L210" s="40" t="str">
        <f>IF(B210=_xlfn.XLOOKUP(B210,Feriados[FE Oficial],Feriados[FE Talvez],"",0),"",IF(Q210="Compensado","",IF(AND(N210="Sex",D210&lt;$Y$4),($Z$4-D210)+$AB$1-(F210-E210)+(I210-$Z$3),IF(AND(N210="Sex",I210&gt;$Z$3),($AB$1-(F210-E210))+(I210-$Z$3),IF(AND(N210="Sex",E210&lt;&gt;"",D210&lt;$Y$4),($Z$4-D210)+$AB$1-(F210-E210)+(I210-$Z$3),IF(N210="Sáb",(I210-D210)-(G210-E210)-(S210-R210),IF(AND(B210&lt;$T$1,I210&gt;$Z$3),H210-$Z$3,IF(D210&lt;$Y$4,($Z$4-D210)+($AB$1-(F210-E210))+(I210-$Z$8)+(S210-R210),IF(AND(S210&lt;&gt;"",D210&gt;$Z$4),(S210-R210)-($AB$1-(F210-E210)),IF(AND(S210&lt;&gt;"",D210&lt;$Y$4),(S210-R210)-($AB$1-(F210-E210)+($Z$4-D210)),IF(I210&gt;$Z$8,($AB$1-(F210-E210))+(I210-$Z$8),IF(AND(N210="Sex",(F210-E210)&lt;($AB$1-$W$1)),($AB$1-(F210-E210)),IF(AND(O210&gt;($AB$1-$W$1),D210&gt;$Z$4),"",IF(AND(B210&gt;=$T$1,(F210-E210)&gt;($AB$1-$W$1)),"",IF(AND(D210&gt;=$Y$4,I210=$Z$8,S210=""),($AB$1-(F210-E210)),IF(AND(P210&lt;&gt;"",S210&lt;&gt;""),I210-$Z$8,IF(AND(P210&lt;&gt;"",D210&gt;$Y$4),$AB$1-(F210-E210),"")))))))))))))))))</f>
        <v/>
      </c>
      <c r="M210" s="107" t="str">
        <f>IFERROR(IF(H210="","",IF(B210=VLOOKUP(B210,Feriados[],2,0),(H210-D210)-(G210-E210),"")),"")</f>
        <v/>
      </c>
      <c r="N210" s="38" t="str">
        <f t="shared" si="18"/>
        <v>Qui</v>
      </c>
      <c r="O210" s="112">
        <f t="shared" si="19"/>
        <v>4.166666666666663E-2</v>
      </c>
      <c r="P210" s="113" t="str">
        <f>IF(B210=_xlfn.XLOOKUP(B210,Feriados[FE Oficial],Feriados[FE Talvez],"",0),"",IF(B210&lt;$T$1,"",IF(Q210="Consulta","",IF(Q210="Compensado","",IF(N210="Sáb","",IF(S210&lt;&gt;"",(S210-R210)-(($AB$1-O210)-(D210-$Z$4)),IF(O210&gt;$AB$1,O210-$AB$1,IF(C210&gt;$Z$4,C210-$Z$4,IF(AND(N210="Sex",G210&lt;&gt;"",H210=""),$Z$3-G210,IF(AND(G210&lt;&gt;"",H210=""),$Z$3-G210,IF(AND(N210="Sex",H210&lt;$Y$3),$Z$3-H210,IF(AND(N210&lt;&gt;"Sex",H210&gt;$AA$8),"",IF(AND(N210="Sex",H210&gt;$Z$8),"",IF(AND(N210&lt;&gt;"Sex",I210&gt;$Z$8),$Z$8-H210,IF(AND(N210&lt;&gt;"Sex",H210&lt;$Y$8),$Z$8-H210,"")))))))))))))))</f>
        <v/>
      </c>
      <c r="Q210" s="33"/>
      <c r="R210" s="33"/>
      <c r="S210" s="33"/>
    </row>
    <row r="211" spans="1:19" x14ac:dyDescent="0.25">
      <c r="A211" s="115" t="s">
        <v>199</v>
      </c>
      <c r="B211" s="32">
        <v>43854</v>
      </c>
      <c r="C211" s="39">
        <f t="shared" si="15"/>
        <v>0.33333333333333331</v>
      </c>
      <c r="D211" s="33">
        <v>0.33333333333333331</v>
      </c>
      <c r="E211" s="33">
        <v>0.5</v>
      </c>
      <c r="F211" s="39">
        <f t="shared" si="16"/>
        <v>0.54166666666666663</v>
      </c>
      <c r="G211" s="33">
        <v>0.54166666666666663</v>
      </c>
      <c r="H211" s="33">
        <v>0.75</v>
      </c>
      <c r="I211" s="39">
        <f>IFERROR(IF(B211=VLOOKUP(B211,Feriados[],2,0),H211,IF(N211="Sáb",H211,IF(AND(B211&lt;$T$1,H211&lt;=$AA$3),$Z$3,IF(AND(N211="Sex",H211&gt;$AA$3),H211,IF(H211&lt;=$AA$3,$Z$3,IF(H211&lt;=$AA$8,$Z$8,H211)))))),IF(N211="Sáb",H211,IF(AND(B211&lt;$T$1,H211&lt;=$AA$3),$Z$3,IF(AND(N211="Sex",H211&gt;$AA$3),H211,IF(H211&lt;=$AA$3,$Z$3,IF(H211&lt;=$AA$8,$Z$8,H211))))))</f>
        <v>0.75</v>
      </c>
      <c r="J211" s="33">
        <f t="shared" si="17"/>
        <v>0.37500000000000006</v>
      </c>
      <c r="K211" s="33">
        <f>IFERROR(IF(H211="","",IF(B211=VLOOKUP(B211,Feriados[],2,0),(H211-D211)-(G211-E211),IF(D211&lt;=$Y$4,(I211-D211)-(G211-E211),(I211-C211)-(F211-E211)))),IF(AND(D211&lt;=$Y$4,F211-E211=$AB$1),(I211-D211)-(F211-E211),IF(D211&lt;$Y$4,(I211-D211)-(G211-E211),(I211-C211)-(F211-E211))))</f>
        <v>0.37500000000000006</v>
      </c>
      <c r="L211" s="40" t="str">
        <f>IF(B211=_xlfn.XLOOKUP(B211,Feriados[FE Oficial],Feriados[FE Talvez],"",0),"",IF(Q211="Compensado","",IF(AND(N211="Sex",D211&lt;$Y$4),($Z$4-D211)+$AB$1-(F211-E211)+(I211-$Z$3),IF(AND(N211="Sex",I211&gt;$Z$3),($AB$1-(F211-E211))+(I211-$Z$3),IF(AND(N211="Sex",E211&lt;&gt;"",D211&lt;$Y$4),($Z$4-D211)+$AB$1-(F211-E211)+(I211-$Z$3),IF(N211="Sáb",(I211-D211)-(G211-E211)-(S211-R211),IF(AND(B211&lt;$T$1,I211&gt;$Z$3),H211-$Z$3,IF(D211&lt;$Y$4,($Z$4-D211)+($AB$1-(F211-E211))+(I211-$Z$8)+(S211-R211),IF(AND(S211&lt;&gt;"",D211&gt;$Z$4),(S211-R211)-($AB$1-(F211-E211)),IF(AND(S211&lt;&gt;"",D211&lt;$Y$4),(S211-R211)-($AB$1-(F211-E211)+($Z$4-D211)),IF(I211&gt;$Z$8,($AB$1-(F211-E211))+(I211-$Z$8),IF(AND(N211="Sex",(F211-E211)&lt;($AB$1-$W$1)),($AB$1-(F211-E211)),IF(AND(O211&gt;($AB$1-$W$1),D211&gt;$Z$4),"",IF(AND(B211&gt;=$T$1,(F211-E211)&gt;($AB$1-$W$1)),"",IF(AND(D211&gt;=$Y$4,I211=$Z$8,S211=""),($AB$1-(F211-E211)),IF(AND(P211&lt;&gt;"",S211&lt;&gt;""),I211-$Z$8,IF(AND(P211&lt;&gt;"",D211&gt;$Y$4),$AB$1-(F211-E211),"")))))))))))))))))</f>
        <v/>
      </c>
      <c r="M211" s="107" t="str">
        <f>IFERROR(IF(H211="","",IF(B211=VLOOKUP(B211,Feriados[],2,0),(H211-D211)-(G211-E211),"")),"")</f>
        <v/>
      </c>
      <c r="N211" s="38" t="str">
        <f t="shared" si="18"/>
        <v>Qui</v>
      </c>
      <c r="O211" s="112">
        <f t="shared" si="19"/>
        <v>4.166666666666663E-2</v>
      </c>
      <c r="P211" s="113" t="str">
        <f>IF(B211=_xlfn.XLOOKUP(B211,Feriados[FE Oficial],Feriados[FE Talvez],"",0),"",IF(B211&lt;$T$1,"",IF(Q211="Consulta","",IF(Q211="Compensado","",IF(N211="Sáb","",IF(S211&lt;&gt;"",(S211-R211)-(($AB$1-O211)-(D211-$Z$4)),IF(O211&gt;$AB$1,O211-$AB$1,IF(C211&gt;$Z$4,C211-$Z$4,IF(AND(N211="Sex",G211&lt;&gt;"",H211=""),$Z$3-G211,IF(AND(G211&lt;&gt;"",H211=""),$Z$3-G211,IF(AND(N211="Sex",H211&lt;$Y$3),$Z$3-H211,IF(AND(N211&lt;&gt;"Sex",H211&gt;$AA$8),"",IF(AND(N211="Sex",H211&gt;$Z$8),"",IF(AND(N211&lt;&gt;"Sex",I211&gt;$Z$8),$Z$8-H211,IF(AND(N211&lt;&gt;"Sex",H211&lt;$Y$8),$Z$8-H211,"")))))))))))))))</f>
        <v/>
      </c>
      <c r="Q211" s="33"/>
      <c r="R211" s="33"/>
      <c r="S211" s="33"/>
    </row>
    <row r="212" spans="1:19" x14ac:dyDescent="0.25">
      <c r="A212" s="115" t="s">
        <v>200</v>
      </c>
      <c r="B212" s="32">
        <v>43854</v>
      </c>
      <c r="C212" s="39">
        <f t="shared" si="15"/>
        <v>0.33333333333333331</v>
      </c>
      <c r="D212" s="33">
        <v>0.33333333333333331</v>
      </c>
      <c r="E212" s="33">
        <v>0.5</v>
      </c>
      <c r="F212" s="39">
        <f t="shared" si="16"/>
        <v>0.54166666666666663</v>
      </c>
      <c r="G212" s="33">
        <v>0.54166666666666663</v>
      </c>
      <c r="H212" s="33">
        <v>0.75</v>
      </c>
      <c r="I212" s="39">
        <f>IFERROR(IF(B212=VLOOKUP(B212,Feriados[],2,0),H212,IF(N212="Sáb",H212,IF(AND(B212&lt;$T$1,H212&lt;=$AA$3),$Z$3,IF(AND(N212="Sex",H212&gt;$AA$3),H212,IF(H212&lt;=$AA$3,$Z$3,IF(H212&lt;=$AA$8,$Z$8,H212)))))),IF(N212="Sáb",H212,IF(AND(B212&lt;$T$1,H212&lt;=$AA$3),$Z$3,IF(AND(N212="Sex",H212&gt;$AA$3),H212,IF(H212&lt;=$AA$3,$Z$3,IF(H212&lt;=$AA$8,$Z$8,H212))))))</f>
        <v>0.75</v>
      </c>
      <c r="J212" s="33">
        <f t="shared" si="17"/>
        <v>0.37500000000000006</v>
      </c>
      <c r="K212" s="33">
        <f>IFERROR(IF(H212="","",IF(B212=VLOOKUP(B212,Feriados[],2,0),(H212-D212)-(G212-E212),IF(D212&lt;=$Y$4,(I212-D212)-(G212-E212),(I212-C212)-(F212-E212)))),IF(AND(D212&lt;=$Y$4,F212-E212=$AB$1),(I212-D212)-(F212-E212),IF(D212&lt;$Y$4,(I212-D212)-(G212-E212),(I212-C212)-(F212-E212))))</f>
        <v>0.37500000000000006</v>
      </c>
      <c r="L212" s="40" t="str">
        <f>IF(B212=_xlfn.XLOOKUP(B212,Feriados[FE Oficial],Feriados[FE Talvez],"",0),"",IF(Q212="Compensado","",IF(AND(N212="Sex",D212&lt;$Y$4),($Z$4-D212)+$AB$1-(F212-E212)+(I212-$Z$3),IF(AND(N212="Sex",I212&gt;$Z$3),($AB$1-(F212-E212))+(I212-$Z$3),IF(AND(N212="Sex",E212&lt;&gt;"",D212&lt;$Y$4),($Z$4-D212)+$AB$1-(F212-E212)+(I212-$Z$3),IF(N212="Sáb",(I212-D212)-(G212-E212)-(S212-R212),IF(AND(B212&lt;$T$1,I212&gt;$Z$3),H212-$Z$3,IF(D212&lt;$Y$4,($Z$4-D212)+($AB$1-(F212-E212))+(I212-$Z$8)+(S212-R212),IF(AND(S212&lt;&gt;"",D212&gt;$Z$4),(S212-R212)-($AB$1-(F212-E212)),IF(AND(S212&lt;&gt;"",D212&lt;$Y$4),(S212-R212)-($AB$1-(F212-E212)+($Z$4-D212)),IF(I212&gt;$Z$8,($AB$1-(F212-E212))+(I212-$Z$8),IF(AND(N212="Sex",(F212-E212)&lt;($AB$1-$W$1)),($AB$1-(F212-E212)),IF(AND(O212&gt;($AB$1-$W$1),D212&gt;$Z$4),"",IF(AND(B212&gt;=$T$1,(F212-E212)&gt;($AB$1-$W$1)),"",IF(AND(D212&gt;=$Y$4,I212=$Z$8,S212=""),($AB$1-(F212-E212)),IF(AND(P212&lt;&gt;"",S212&lt;&gt;""),I212-$Z$8,IF(AND(P212&lt;&gt;"",D212&gt;$Y$4),$AB$1-(F212-E212),"")))))))))))))))))</f>
        <v/>
      </c>
      <c r="M212" s="107" t="str">
        <f>IFERROR(IF(H212="","",IF(B212=VLOOKUP(B212,Feriados[],2,0),(H212-D212)-(G212-E212),"")),"")</f>
        <v/>
      </c>
      <c r="N212" s="38" t="str">
        <f t="shared" si="18"/>
        <v>Qui</v>
      </c>
      <c r="O212" s="112">
        <f t="shared" si="19"/>
        <v>4.166666666666663E-2</v>
      </c>
      <c r="P212" s="113" t="str">
        <f>IF(B212=_xlfn.XLOOKUP(B212,Feriados[FE Oficial],Feriados[FE Talvez],"",0),"",IF(B212&lt;$T$1,"",IF(Q212="Consulta","",IF(Q212="Compensado","",IF(N212="Sáb","",IF(S212&lt;&gt;"",(S212-R212)-(($AB$1-O212)-(D212-$Z$4)),IF(O212&gt;$AB$1,O212-$AB$1,IF(C212&gt;$Z$4,C212-$Z$4,IF(AND(N212="Sex",G212&lt;&gt;"",H212=""),$Z$3-G212,IF(AND(G212&lt;&gt;"",H212=""),$Z$3-G212,IF(AND(N212="Sex",H212&lt;$Y$3),$Z$3-H212,IF(AND(N212&lt;&gt;"Sex",H212&gt;$AA$8),"",IF(AND(N212="Sex",H212&gt;$Z$8),"",IF(AND(N212&lt;&gt;"Sex",I212&gt;$Z$8),$Z$8-H212,IF(AND(N212&lt;&gt;"Sex",H212&lt;$Y$8),$Z$8-H212,"")))))))))))))))</f>
        <v/>
      </c>
      <c r="Q212" s="33"/>
      <c r="R212" s="33"/>
      <c r="S212" s="33"/>
    </row>
    <row r="213" spans="1:19" x14ac:dyDescent="0.25">
      <c r="A213" s="116" t="s">
        <v>175</v>
      </c>
      <c r="B213" s="32">
        <v>43855</v>
      </c>
      <c r="C213" s="39">
        <f t="shared" si="15"/>
        <v>0.33333333333333331</v>
      </c>
      <c r="D213" s="33">
        <v>0.32361111111111113</v>
      </c>
      <c r="E213" s="33">
        <v>0.5</v>
      </c>
      <c r="F213" s="39">
        <f t="shared" si="16"/>
        <v>0.54166666666666663</v>
      </c>
      <c r="G213" s="33">
        <v>0.54166666666666663</v>
      </c>
      <c r="H213" s="33">
        <v>0.70833333333333337</v>
      </c>
      <c r="I213" s="39">
        <f>IFERROR(IF(B213=VLOOKUP(B213,Feriados[],2,0),H213,IF(N213="Sáb",H213,IF(AND(B213&lt;$T$1,H213&lt;=$AA$3),$Z$3,IF(AND(N213="Sex",H213&gt;$AA$3),H213,IF(H213&lt;=$AA$3,$Z$3,IF(H213&lt;=$AA$8,$Z$8,H213)))))),IF(N213="Sáb",H213,IF(AND(B213&lt;$T$1,H213&lt;=$AA$3),$Z$3,IF(AND(N213="Sex",H213&gt;$AA$3),H213,IF(H213&lt;=$AA$3,$Z$3,IF(H213&lt;=$AA$8,$Z$8,H213))))))</f>
        <v>0.70833333333333337</v>
      </c>
      <c r="J213" s="33">
        <f t="shared" si="17"/>
        <v>0.33333333333333331</v>
      </c>
      <c r="K213" s="33">
        <f>IFERROR(IF(H213="","",IF(B213=VLOOKUP(B213,Feriados[],2,0),(H213-D213)-(G213-E213),IF(D213&lt;=$Y$4,(I213-D213)-(G213-E213),(I213-C213)-(F213-E213)))),IF(AND(D213&lt;=$Y$4,F213-E213=$AB$1),(I213-D213)-(F213-E213),IF(D213&lt;$Y$4,(I213-D213)-(G213-E213),(I213-C213)-(F213-E213))))</f>
        <v>0.34305555555555561</v>
      </c>
      <c r="L213" s="40">
        <f>IF(B213=_xlfn.XLOOKUP(B213,Feriados[FE Oficial],Feriados[FE Talvez],"",0),"",IF(Q213="Compensado","",IF(AND(N213="Sex",D213&lt;$Y$4),($Z$4-D213)+$AB$1-(F213-E213)+(I213-$Z$3),IF(AND(N213="Sex",I213&gt;$Z$3),($AB$1-(F213-E213))+(I213-$Z$3),IF(AND(N213="Sex",E213&lt;&gt;"",D213&lt;$Y$4),($Z$4-D213)+$AB$1-(F213-E213)+(I213-$Z$3),IF(N213="Sáb",(I213-D213)-(G213-E213)-(S213-R213),IF(AND(B213&lt;$T$1,I213&gt;$Z$3),H213-$Z$3,IF(D213&lt;$Y$4,($Z$4-D213)+($AB$1-(F213-E213))+(I213-$Z$8)+(S213-R213),IF(AND(S213&lt;&gt;"",D213&gt;$Z$4),(S213-R213)-($AB$1-(F213-E213)),IF(AND(S213&lt;&gt;"",D213&lt;$Y$4),(S213-R213)-($AB$1-(F213-E213)+($Z$4-D213)),IF(I213&gt;$Z$8,($AB$1-(F213-E213))+(I213-$Z$8),IF(AND(N213="Sex",(F213-E213)&lt;($AB$1-$W$1)),($AB$1-(F213-E213)),IF(AND(O213&gt;($AB$1-$W$1),D213&gt;$Z$4),"",IF(AND(B213&gt;=$T$1,(F213-E213)&gt;($AB$1-$W$1)),"",IF(AND(D213&gt;=$Y$4,I213=$Z$8,S213=""),($AB$1-(F213-E213)),IF(AND(P213&lt;&gt;"",S213&lt;&gt;""),I213-$Z$8,IF(AND(P213&lt;&gt;"",D213&gt;$Y$4),$AB$1-(F213-E213),"")))))))))))))))))</f>
        <v>9.7222222222222224E-3</v>
      </c>
      <c r="M213" s="107" t="str">
        <f>IFERROR(IF(H213="","",IF(B213=VLOOKUP(B213,Feriados[],2,0),(H213-D213)-(G213-E213),"")),"")</f>
        <v/>
      </c>
      <c r="N213" s="38" t="str">
        <f t="shared" si="18"/>
        <v>Sex</v>
      </c>
      <c r="O213" s="112">
        <f t="shared" si="19"/>
        <v>4.166666666666663E-2</v>
      </c>
      <c r="P213" s="113" t="str">
        <f>IF(B213=_xlfn.XLOOKUP(B213,Feriados[FE Oficial],Feriados[FE Talvez],"",0),"",IF(B213&lt;$T$1,"",IF(Q213="Consulta","",IF(Q213="Compensado","",IF(N213="Sáb","",IF(S213&lt;&gt;"",(S213-R213)-(($AB$1-O213)-(D213-$Z$4)),IF(O213&gt;$AB$1,O213-$AB$1,IF(C213&gt;$Z$4,C213-$Z$4,IF(AND(N213="Sex",G213&lt;&gt;"",H213=""),$Z$3-G213,IF(AND(G213&lt;&gt;"",H213=""),$Z$3-G213,IF(AND(N213="Sex",H213&lt;$Y$3),$Z$3-H213,IF(AND(N213&lt;&gt;"Sex",H213&gt;$AA$8),"",IF(AND(N213="Sex",H213&gt;$Z$8),"",IF(AND(N213&lt;&gt;"Sex",I213&gt;$Z$8),$Z$8-H213,IF(AND(N213&lt;&gt;"Sex",H213&lt;$Y$8),$Z$8-H213,"")))))))))))))))</f>
        <v/>
      </c>
      <c r="Q213" s="33"/>
      <c r="R213" s="33"/>
      <c r="S213" s="33"/>
    </row>
    <row r="214" spans="1:19" x14ac:dyDescent="0.25">
      <c r="A214" s="115" t="s">
        <v>190</v>
      </c>
      <c r="B214" s="32">
        <v>43855</v>
      </c>
      <c r="C214" s="39">
        <f t="shared" si="15"/>
        <v>0.33333333333333331</v>
      </c>
      <c r="D214" s="33">
        <v>0.33333333333333331</v>
      </c>
      <c r="E214" s="33">
        <v>0.47916666666666669</v>
      </c>
      <c r="F214" s="39">
        <f t="shared" si="16"/>
        <v>0.52083333333333337</v>
      </c>
      <c r="G214" s="33">
        <v>0.52083333333333337</v>
      </c>
      <c r="H214" s="33">
        <v>0.70833333333333337</v>
      </c>
      <c r="I214" s="39">
        <f>IFERROR(IF(B214=VLOOKUP(B214,Feriados[],2,0),H214,IF(N214="Sáb",H214,IF(AND(B214&lt;$T$1,H214&lt;=$AA$3),$Z$3,IF(AND(N214="Sex",H214&gt;$AA$3),H214,IF(H214&lt;=$AA$3,$Z$3,IF(H214&lt;=$AA$8,$Z$8,H214)))))),IF(N214="Sáb",H214,IF(AND(B214&lt;$T$1,H214&lt;=$AA$3),$Z$3,IF(AND(N214="Sex",H214&gt;$AA$3),H214,IF(H214&lt;=$AA$3,$Z$3,IF(H214&lt;=$AA$8,$Z$8,H214))))))</f>
        <v>0.70833333333333337</v>
      </c>
      <c r="J214" s="33">
        <f t="shared" si="17"/>
        <v>0.33333333333333337</v>
      </c>
      <c r="K214" s="33">
        <f>IFERROR(IF(H214="","",IF(B214=VLOOKUP(B214,Feriados[],2,0),(H214-D214)-(G214-E214),IF(D214&lt;=$Y$4,(I214-D214)-(G214-E214),(I214-C214)-(F214-E214)))),IF(AND(D214&lt;=$Y$4,F214-E214=$AB$1),(I214-D214)-(F214-E214),IF(D214&lt;$Y$4,(I214-D214)-(G214-E214),(I214-C214)-(F214-E214))))</f>
        <v>0.33333333333333337</v>
      </c>
      <c r="L214" s="40" t="str">
        <f>IF(B214=_xlfn.XLOOKUP(B214,Feriados[FE Oficial],Feriados[FE Talvez],"",0),"",IF(Q214="Compensado","",IF(AND(N214="Sex",D214&lt;$Y$4),($Z$4-D214)+$AB$1-(F214-E214)+(I214-$Z$3),IF(AND(N214="Sex",I214&gt;$Z$3),($AB$1-(F214-E214))+(I214-$Z$3),IF(AND(N214="Sex",E214&lt;&gt;"",D214&lt;$Y$4),($Z$4-D214)+$AB$1-(F214-E214)+(I214-$Z$3),IF(N214="Sáb",(I214-D214)-(G214-E214)-(S214-R214),IF(AND(B214&lt;$T$1,I214&gt;$Z$3),H214-$Z$3,IF(D214&lt;$Y$4,($Z$4-D214)+($AB$1-(F214-E214))+(I214-$Z$8)+(S214-R214),IF(AND(S214&lt;&gt;"",D214&gt;$Z$4),(S214-R214)-($AB$1-(F214-E214)),IF(AND(S214&lt;&gt;"",D214&lt;$Y$4),(S214-R214)-($AB$1-(F214-E214)+($Z$4-D214)),IF(I214&gt;$Z$8,($AB$1-(F214-E214))+(I214-$Z$8),IF(AND(N214="Sex",(F214-E214)&lt;($AB$1-$W$1)),($AB$1-(F214-E214)),IF(AND(O214&gt;($AB$1-$W$1),D214&gt;$Z$4),"",IF(AND(B214&gt;=$T$1,(F214-E214)&gt;($AB$1-$W$1)),"",IF(AND(D214&gt;=$Y$4,I214=$Z$8,S214=""),($AB$1-(F214-E214)),IF(AND(P214&lt;&gt;"",S214&lt;&gt;""),I214-$Z$8,IF(AND(P214&lt;&gt;"",D214&gt;$Y$4),$AB$1-(F214-E214),"")))))))))))))))))</f>
        <v/>
      </c>
      <c r="M214" s="107" t="str">
        <f>IFERROR(IF(H214="","",IF(B214=VLOOKUP(B214,Feriados[],2,0),(H214-D214)-(G214-E214),"")),"")</f>
        <v/>
      </c>
      <c r="N214" s="38" t="str">
        <f t="shared" si="18"/>
        <v>Sex</v>
      </c>
      <c r="O214" s="112">
        <f t="shared" si="19"/>
        <v>4.1666666666666685E-2</v>
      </c>
      <c r="P214" s="113" t="str">
        <f>IF(B214=_xlfn.XLOOKUP(B214,Feriados[FE Oficial],Feriados[FE Talvez],"",0),"",IF(B214&lt;$T$1,"",IF(Q214="Consulta","",IF(Q214="Compensado","",IF(N214="Sáb","",IF(S214&lt;&gt;"",(S214-R214)-(($AB$1-O214)-(D214-$Z$4)),IF(O214&gt;$AB$1,O214-$AB$1,IF(C214&gt;$Z$4,C214-$Z$4,IF(AND(N214="Sex",G214&lt;&gt;"",H214=""),$Z$3-G214,IF(AND(G214&lt;&gt;"",H214=""),$Z$3-G214,IF(AND(N214="Sex",H214&lt;$Y$3),$Z$3-H214,IF(AND(N214&lt;&gt;"Sex",H214&gt;$AA$8),"",IF(AND(N214="Sex",H214&gt;$Z$8),"",IF(AND(N214&lt;&gt;"Sex",I214&gt;$Z$8),$Z$8-H214,IF(AND(N214&lt;&gt;"Sex",H214&lt;$Y$8),$Z$8-H214,"")))))))))))))))</f>
        <v/>
      </c>
      <c r="Q214" s="33"/>
      <c r="R214" s="33"/>
      <c r="S214" s="33"/>
    </row>
    <row r="215" spans="1:19" x14ac:dyDescent="0.25">
      <c r="A215" s="115" t="s">
        <v>194</v>
      </c>
      <c r="B215" s="32">
        <v>43855</v>
      </c>
      <c r="C215" s="39">
        <f t="shared" si="15"/>
        <v>0.33333333333333331</v>
      </c>
      <c r="D215" s="33">
        <v>0.29166666666666669</v>
      </c>
      <c r="E215" s="33">
        <v>0.5</v>
      </c>
      <c r="F215" s="39">
        <f t="shared" si="16"/>
        <v>0.54166666666666663</v>
      </c>
      <c r="G215" s="33">
        <v>0.54166666666666663</v>
      </c>
      <c r="H215" s="33">
        <v>0.70833333333333337</v>
      </c>
      <c r="I215" s="39">
        <f>IFERROR(IF(B215=VLOOKUP(B215,Feriados[],2,0),H215,IF(N215="Sáb",H215,IF(AND(B215&lt;$T$1,H215&lt;=$AA$3),$Z$3,IF(AND(N215="Sex",H215&gt;$AA$3),H215,IF(H215&lt;=$AA$3,$Z$3,IF(H215&lt;=$AA$8,$Z$8,H215)))))),IF(N215="Sáb",H215,IF(AND(B215&lt;$T$1,H215&lt;=$AA$3),$Z$3,IF(AND(N215="Sex",H215&gt;$AA$3),H215,IF(H215&lt;=$AA$3,$Z$3,IF(H215&lt;=$AA$8,$Z$8,H215))))))</f>
        <v>0.70833333333333337</v>
      </c>
      <c r="J215" s="33">
        <f t="shared" si="17"/>
        <v>0.33333333333333331</v>
      </c>
      <c r="K215" s="33">
        <f>IFERROR(IF(H215="","",IF(B215=VLOOKUP(B215,Feriados[],2,0),(H215-D215)-(G215-E215),IF(D215&lt;=$Y$4,(I215-D215)-(G215-E215),(I215-C215)-(F215-E215)))),IF(AND(D215&lt;=$Y$4,F215-E215=$AB$1),(I215-D215)-(F215-E215),IF(D215&lt;$Y$4,(I215-D215)-(G215-E215),(I215-C215)-(F215-E215))))</f>
        <v>0.37500000000000006</v>
      </c>
      <c r="L215" s="40">
        <f>IF(B215=_xlfn.XLOOKUP(B215,Feriados[FE Oficial],Feriados[FE Talvez],"",0),"",IF(Q215="Compensado","",IF(AND(N215="Sex",D215&lt;$Y$4),($Z$4-D215)+$AB$1-(F215-E215)+(I215-$Z$3),IF(AND(N215="Sex",I215&gt;$Z$3),($AB$1-(F215-E215))+(I215-$Z$3),IF(AND(N215="Sex",E215&lt;&gt;"",D215&lt;$Y$4),($Z$4-D215)+$AB$1-(F215-E215)+(I215-$Z$3),IF(N215="Sáb",(I215-D215)-(G215-E215)-(S215-R215),IF(AND(B215&lt;$T$1,I215&gt;$Z$3),H215-$Z$3,IF(D215&lt;$Y$4,($Z$4-D215)+($AB$1-(F215-E215))+(I215-$Z$8)+(S215-R215),IF(AND(S215&lt;&gt;"",D215&gt;$Z$4),(S215-R215)-($AB$1-(F215-E215)),IF(AND(S215&lt;&gt;"",D215&lt;$Y$4),(S215-R215)-($AB$1-(F215-E215)+($Z$4-D215)),IF(I215&gt;$Z$8,($AB$1-(F215-E215))+(I215-$Z$8),IF(AND(N215="Sex",(F215-E215)&lt;($AB$1-$W$1)),($AB$1-(F215-E215)),IF(AND(O215&gt;($AB$1-$W$1),D215&gt;$Z$4),"",IF(AND(B215&gt;=$T$1,(F215-E215)&gt;($AB$1-$W$1)),"",IF(AND(D215&gt;=$Y$4,I215=$Z$8,S215=""),($AB$1-(F215-E215)),IF(AND(P215&lt;&gt;"",S215&lt;&gt;""),I215-$Z$8,IF(AND(P215&lt;&gt;"",D215&gt;$Y$4),$AB$1-(F215-E215),"")))))))))))))))))</f>
        <v>4.1666666666666657E-2</v>
      </c>
      <c r="M215" s="107" t="str">
        <f>IFERROR(IF(H215="","",IF(B215=VLOOKUP(B215,Feriados[],2,0),(H215-D215)-(G215-E215),"")),"")</f>
        <v/>
      </c>
      <c r="N215" s="38" t="str">
        <f t="shared" si="18"/>
        <v>Sex</v>
      </c>
      <c r="O215" s="112">
        <f t="shared" si="19"/>
        <v>4.166666666666663E-2</v>
      </c>
      <c r="P215" s="113" t="str">
        <f>IF(B215=_xlfn.XLOOKUP(B215,Feriados[FE Oficial],Feriados[FE Talvez],"",0),"",IF(B215&lt;$T$1,"",IF(Q215="Consulta","",IF(Q215="Compensado","",IF(N215="Sáb","",IF(S215&lt;&gt;"",(S215-R215)-(($AB$1-O215)-(D215-$Z$4)),IF(O215&gt;$AB$1,O215-$AB$1,IF(C215&gt;$Z$4,C215-$Z$4,IF(AND(N215="Sex",G215&lt;&gt;"",H215=""),$Z$3-G215,IF(AND(G215&lt;&gt;"",H215=""),$Z$3-G215,IF(AND(N215="Sex",H215&lt;$Y$3),$Z$3-H215,IF(AND(N215&lt;&gt;"Sex",H215&gt;$AA$8),"",IF(AND(N215="Sex",H215&gt;$Z$8),"",IF(AND(N215&lt;&gt;"Sex",I215&gt;$Z$8),$Z$8-H215,IF(AND(N215&lt;&gt;"Sex",H215&lt;$Y$8),$Z$8-H215,"")))))))))))))))</f>
        <v/>
      </c>
      <c r="Q215" s="33"/>
      <c r="R215" s="33"/>
      <c r="S215" s="33"/>
    </row>
    <row r="216" spans="1:19" x14ac:dyDescent="0.25">
      <c r="A216" s="115" t="s">
        <v>197</v>
      </c>
      <c r="B216" s="32">
        <v>43855</v>
      </c>
      <c r="C216" s="39">
        <f t="shared" si="15"/>
        <v>0.33333333333333331</v>
      </c>
      <c r="D216" s="33">
        <v>0.32361111111111113</v>
      </c>
      <c r="E216" s="33">
        <v>0.47916666666666669</v>
      </c>
      <c r="F216" s="39">
        <f t="shared" si="16"/>
        <v>0.52083333333333337</v>
      </c>
      <c r="G216" s="33">
        <v>0.52083333333333337</v>
      </c>
      <c r="H216" s="33">
        <v>0.70833333333333337</v>
      </c>
      <c r="I216" s="39">
        <f>IFERROR(IF(B216=VLOOKUP(B216,Feriados[],2,0),H216,IF(N216="Sáb",H216,IF(AND(B216&lt;$T$1,H216&lt;=$AA$3),$Z$3,IF(AND(N216="Sex",H216&gt;$AA$3),H216,IF(H216&lt;=$AA$3,$Z$3,IF(H216&lt;=$AA$8,$Z$8,H216)))))),IF(N216="Sáb",H216,IF(AND(B216&lt;$T$1,H216&lt;=$AA$3),$Z$3,IF(AND(N216="Sex",H216&gt;$AA$3),H216,IF(H216&lt;=$AA$3,$Z$3,IF(H216&lt;=$AA$8,$Z$8,H216))))))</f>
        <v>0.70833333333333337</v>
      </c>
      <c r="J216" s="33">
        <f t="shared" si="17"/>
        <v>0.33333333333333331</v>
      </c>
      <c r="K216" s="33">
        <f>IFERROR(IF(H216="","",IF(B216=VLOOKUP(B216,Feriados[],2,0),(H216-D216)-(G216-E216),IF(D216&lt;=$Y$4,(I216-D216)-(G216-E216),(I216-C216)-(F216-E216)))),IF(AND(D216&lt;=$Y$4,F216-E216=$AB$1),(I216-D216)-(F216-E216),IF(D216&lt;$Y$4,(I216-D216)-(G216-E216),(I216-C216)-(F216-E216))))</f>
        <v>0.34305555555555556</v>
      </c>
      <c r="L216" s="40">
        <f>IF(B216=_xlfn.XLOOKUP(B216,Feriados[FE Oficial],Feriados[FE Talvez],"",0),"",IF(Q216="Compensado","",IF(AND(N216="Sex",D216&lt;$Y$4),($Z$4-D216)+$AB$1-(F216-E216)+(I216-$Z$3),IF(AND(N216="Sex",I216&gt;$Z$3),($AB$1-(F216-E216))+(I216-$Z$3),IF(AND(N216="Sex",E216&lt;&gt;"",D216&lt;$Y$4),($Z$4-D216)+$AB$1-(F216-E216)+(I216-$Z$3),IF(N216="Sáb",(I216-D216)-(G216-E216)-(S216-R216),IF(AND(B216&lt;$T$1,I216&gt;$Z$3),H216-$Z$3,IF(D216&lt;$Y$4,($Z$4-D216)+($AB$1-(F216-E216))+(I216-$Z$8)+(S216-R216),IF(AND(S216&lt;&gt;"",D216&gt;$Z$4),(S216-R216)-($AB$1-(F216-E216)),IF(AND(S216&lt;&gt;"",D216&lt;$Y$4),(S216-R216)-($AB$1-(F216-E216)+($Z$4-D216)),IF(I216&gt;$Z$8,($AB$1-(F216-E216))+(I216-$Z$8),IF(AND(N216="Sex",(F216-E216)&lt;($AB$1-$W$1)),($AB$1-(F216-E216)),IF(AND(O216&gt;($AB$1-$W$1),D216&gt;$Z$4),"",IF(AND(B216&gt;=$T$1,(F216-E216)&gt;($AB$1-$W$1)),"",IF(AND(D216&gt;=$Y$4,I216=$Z$8,S216=""),($AB$1-(F216-E216)),IF(AND(P216&lt;&gt;"",S216&lt;&gt;""),I216-$Z$8,IF(AND(P216&lt;&gt;"",D216&gt;$Y$4),$AB$1-(F216-E216),"")))))))))))))))))</f>
        <v>9.7222222222221669E-3</v>
      </c>
      <c r="M216" s="107" t="str">
        <f>IFERROR(IF(H216="","",IF(B216=VLOOKUP(B216,Feriados[],2,0),(H216-D216)-(G216-E216),"")),"")</f>
        <v/>
      </c>
      <c r="N216" s="38" t="str">
        <f t="shared" si="18"/>
        <v>Sex</v>
      </c>
      <c r="O216" s="112">
        <f t="shared" si="19"/>
        <v>4.1666666666666685E-2</v>
      </c>
      <c r="P216" s="113" t="str">
        <f>IF(B216=_xlfn.XLOOKUP(B216,Feriados[FE Oficial],Feriados[FE Talvez],"",0),"",IF(B216&lt;$T$1,"",IF(Q216="Consulta","",IF(Q216="Compensado","",IF(N216="Sáb","",IF(S216&lt;&gt;"",(S216-R216)-(($AB$1-O216)-(D216-$Z$4)),IF(O216&gt;$AB$1,O216-$AB$1,IF(C216&gt;$Z$4,C216-$Z$4,IF(AND(N216="Sex",G216&lt;&gt;"",H216=""),$Z$3-G216,IF(AND(G216&lt;&gt;"",H216=""),$Z$3-G216,IF(AND(N216="Sex",H216&lt;$Y$3),$Z$3-H216,IF(AND(N216&lt;&gt;"Sex",H216&gt;$AA$8),"",IF(AND(N216="Sex",H216&gt;$Z$8),"",IF(AND(N216&lt;&gt;"Sex",I216&gt;$Z$8),$Z$8-H216,IF(AND(N216&lt;&gt;"Sex",H216&lt;$Y$8),$Z$8-H216,"")))))))))))))))</f>
        <v/>
      </c>
      <c r="Q216" s="33"/>
      <c r="R216" s="33"/>
      <c r="S216" s="33"/>
    </row>
    <row r="217" spans="1:19" x14ac:dyDescent="0.25">
      <c r="A217" s="115" t="s">
        <v>191</v>
      </c>
      <c r="B217" s="32">
        <v>43855</v>
      </c>
      <c r="C217" s="39">
        <f t="shared" si="15"/>
        <v>0.33333333333333331</v>
      </c>
      <c r="D217" s="33">
        <v>0.32361111111111113</v>
      </c>
      <c r="E217" s="33">
        <v>0.47916666666666669</v>
      </c>
      <c r="F217" s="39">
        <f t="shared" si="16"/>
        <v>0.52083333333333337</v>
      </c>
      <c r="G217" s="33">
        <v>0.54166666666666663</v>
      </c>
      <c r="H217" s="33">
        <v>0.70833333333333337</v>
      </c>
      <c r="I217" s="39">
        <f>IFERROR(IF(B217=VLOOKUP(B217,Feriados[],2,0),H217,IF(N217="Sáb",H217,IF(AND(B217&lt;$T$1,H217&lt;=$AA$3),$Z$3,IF(AND(N217="Sex",H217&gt;$AA$3),H217,IF(H217&lt;=$AA$3,$Z$3,IF(H217&lt;=$AA$8,$Z$8,H217)))))),IF(N217="Sáb",H217,IF(AND(B217&lt;$T$1,H217&lt;=$AA$3),$Z$3,IF(AND(N217="Sex",H217&gt;$AA$3),H217,IF(H217&lt;=$AA$3,$Z$3,IF(H217&lt;=$AA$8,$Z$8,H217))))))</f>
        <v>0.70833333333333337</v>
      </c>
      <c r="J217" s="33">
        <f t="shared" si="17"/>
        <v>0.3222222222222223</v>
      </c>
      <c r="K217" s="33">
        <f>IFERROR(IF(H217="","",IF(B217=VLOOKUP(B217,Feriados[],2,0),(H217-D217)-(G217-E217),IF(D217&lt;=$Y$4,(I217-D217)-(G217-E217),(I217-C217)-(F217-E217)))),IF(AND(D217&lt;=$Y$4,F217-E217=$AB$1),(I217-D217)-(F217-E217),IF(D217&lt;$Y$4,(I217-D217)-(G217-E217),(I217-C217)-(F217-E217))))</f>
        <v>0.34305555555555556</v>
      </c>
      <c r="L217" s="40">
        <f>IF(B217=_xlfn.XLOOKUP(B217,Feriados[FE Oficial],Feriados[FE Talvez],"",0),"",IF(Q217="Compensado","",IF(AND(N217="Sex",D217&lt;$Y$4),($Z$4-D217)+$AB$1-(F217-E217)+(I217-$Z$3),IF(AND(N217="Sex",I217&gt;$Z$3),($AB$1-(F217-E217))+(I217-$Z$3),IF(AND(N217="Sex",E217&lt;&gt;"",D217&lt;$Y$4),($Z$4-D217)+$AB$1-(F217-E217)+(I217-$Z$3),IF(N217="Sáb",(I217-D217)-(G217-E217)-(S217-R217),IF(AND(B217&lt;$T$1,I217&gt;$Z$3),H217-$Z$3,IF(D217&lt;$Y$4,($Z$4-D217)+($AB$1-(F217-E217))+(I217-$Z$8)+(S217-R217),IF(AND(S217&lt;&gt;"",D217&gt;$Z$4),(S217-R217)-($AB$1-(F217-E217)),IF(AND(S217&lt;&gt;"",D217&lt;$Y$4),(S217-R217)-($AB$1-(F217-E217)+($Z$4-D217)),IF(I217&gt;$Z$8,($AB$1-(F217-E217))+(I217-$Z$8),IF(AND(N217="Sex",(F217-E217)&lt;($AB$1-$W$1)),($AB$1-(F217-E217)),IF(AND(O217&gt;($AB$1-$W$1),D217&gt;$Z$4),"",IF(AND(B217&gt;=$T$1,(F217-E217)&gt;($AB$1-$W$1)),"",IF(AND(D217&gt;=$Y$4,I217=$Z$8,S217=""),($AB$1-(F217-E217)),IF(AND(P217&lt;&gt;"",S217&lt;&gt;""),I217-$Z$8,IF(AND(P217&lt;&gt;"",D217&gt;$Y$4),$AB$1-(F217-E217),"")))))))))))))))))</f>
        <v>9.7222222222221669E-3</v>
      </c>
      <c r="M217" s="107" t="str">
        <f>IFERROR(IF(H217="","",IF(B217=VLOOKUP(B217,Feriados[],2,0),(H217-D217)-(G217-E217),"")),"")</f>
        <v/>
      </c>
      <c r="N217" s="38" t="str">
        <f t="shared" si="18"/>
        <v>Sex</v>
      </c>
      <c r="O217" s="112">
        <f t="shared" si="19"/>
        <v>6.2499999999999944E-2</v>
      </c>
      <c r="P217" s="113">
        <f>IF(B217=_xlfn.XLOOKUP(B217,Feriados[FE Oficial],Feriados[FE Talvez],"",0),"",IF(B217&lt;$T$1,"",IF(Q217="Consulta","",IF(Q217="Compensado","",IF(N217="Sáb","",IF(S217&lt;&gt;"",(S217-R217)-(($AB$1-O217)-(D217-$Z$4)),IF(O217&gt;$AB$1,O217-$AB$1,IF(C217&gt;$Z$4,C217-$Z$4,IF(AND(N217="Sex",G217&lt;&gt;"",H217=""),$Z$3-G217,IF(AND(G217&lt;&gt;"",H217=""),$Z$3-G217,IF(AND(N217="Sex",H217&lt;$Y$3),$Z$3-H217,IF(AND(N217&lt;&gt;"Sex",H217&gt;$AA$8),"",IF(AND(N217="Sex",H217&gt;$Z$8),"",IF(AND(N217&lt;&gt;"Sex",I217&gt;$Z$8),$Z$8-H217,IF(AND(N217&lt;&gt;"Sex",H217&lt;$Y$8),$Z$8-H217,"")))))))))))))))</f>
        <v>2.083333333333328E-2</v>
      </c>
      <c r="Q217" s="33"/>
      <c r="R217" s="33"/>
      <c r="S217" s="33"/>
    </row>
    <row r="218" spans="1:19" x14ac:dyDescent="0.25">
      <c r="A218" s="115" t="s">
        <v>198</v>
      </c>
      <c r="B218" s="32">
        <v>43855</v>
      </c>
      <c r="C218" s="39">
        <f t="shared" si="15"/>
        <v>0.33333333333333331</v>
      </c>
      <c r="D218" s="33">
        <v>0.32361111111111113</v>
      </c>
      <c r="E218" s="33">
        <v>0.5</v>
      </c>
      <c r="F218" s="39">
        <f t="shared" si="16"/>
        <v>0.54166666666666663</v>
      </c>
      <c r="G218" s="33">
        <v>0.54166666666666663</v>
      </c>
      <c r="H218" s="33">
        <v>0.70833333333333337</v>
      </c>
      <c r="I218" s="39">
        <f>IFERROR(IF(B218=VLOOKUP(B218,Feriados[],2,0),H218,IF(N218="Sáb",H218,IF(AND(B218&lt;$T$1,H218&lt;=$AA$3),$Z$3,IF(AND(N218="Sex",H218&gt;$AA$3),H218,IF(H218&lt;=$AA$3,$Z$3,IF(H218&lt;=$AA$8,$Z$8,H218)))))),IF(N218="Sáb",H218,IF(AND(B218&lt;$T$1,H218&lt;=$AA$3),$Z$3,IF(AND(N218="Sex",H218&gt;$AA$3),H218,IF(H218&lt;=$AA$3,$Z$3,IF(H218&lt;=$AA$8,$Z$8,H218))))))</f>
        <v>0.70833333333333337</v>
      </c>
      <c r="J218" s="33">
        <f t="shared" si="17"/>
        <v>0.33333333333333331</v>
      </c>
      <c r="K218" s="33">
        <f>IFERROR(IF(H218="","",IF(B218=VLOOKUP(B218,Feriados[],2,0),(H218-D218)-(G218-E218),IF(D218&lt;=$Y$4,(I218-D218)-(G218-E218),(I218-C218)-(F218-E218)))),IF(AND(D218&lt;=$Y$4,F218-E218=$AB$1),(I218-D218)-(F218-E218),IF(D218&lt;$Y$4,(I218-D218)-(G218-E218),(I218-C218)-(F218-E218))))</f>
        <v>0.34305555555555561</v>
      </c>
      <c r="L218" s="40">
        <f>IF(B218=_xlfn.XLOOKUP(B218,Feriados[FE Oficial],Feriados[FE Talvez],"",0),"",IF(Q218="Compensado","",IF(AND(N218="Sex",D218&lt;$Y$4),($Z$4-D218)+$AB$1-(F218-E218)+(I218-$Z$3),IF(AND(N218="Sex",I218&gt;$Z$3),($AB$1-(F218-E218))+(I218-$Z$3),IF(AND(N218="Sex",E218&lt;&gt;"",D218&lt;$Y$4),($Z$4-D218)+$AB$1-(F218-E218)+(I218-$Z$3),IF(N218="Sáb",(I218-D218)-(G218-E218)-(S218-R218),IF(AND(B218&lt;$T$1,I218&gt;$Z$3),H218-$Z$3,IF(D218&lt;$Y$4,($Z$4-D218)+($AB$1-(F218-E218))+(I218-$Z$8)+(S218-R218),IF(AND(S218&lt;&gt;"",D218&gt;$Z$4),(S218-R218)-($AB$1-(F218-E218)),IF(AND(S218&lt;&gt;"",D218&lt;$Y$4),(S218-R218)-($AB$1-(F218-E218)+($Z$4-D218)),IF(I218&gt;$Z$8,($AB$1-(F218-E218))+(I218-$Z$8),IF(AND(N218="Sex",(F218-E218)&lt;($AB$1-$W$1)),($AB$1-(F218-E218)),IF(AND(O218&gt;($AB$1-$W$1),D218&gt;$Z$4),"",IF(AND(B218&gt;=$T$1,(F218-E218)&gt;($AB$1-$W$1)),"",IF(AND(D218&gt;=$Y$4,I218=$Z$8,S218=""),($AB$1-(F218-E218)),IF(AND(P218&lt;&gt;"",S218&lt;&gt;""),I218-$Z$8,IF(AND(P218&lt;&gt;"",D218&gt;$Y$4),$AB$1-(F218-E218),"")))))))))))))))))</f>
        <v>9.7222222222222224E-3</v>
      </c>
      <c r="M218" s="107" t="str">
        <f>IFERROR(IF(H218="","",IF(B218=VLOOKUP(B218,Feriados[],2,0),(H218-D218)-(G218-E218),"")),"")</f>
        <v/>
      </c>
      <c r="N218" s="38" t="str">
        <f t="shared" si="18"/>
        <v>Sex</v>
      </c>
      <c r="O218" s="112">
        <f t="shared" si="19"/>
        <v>4.166666666666663E-2</v>
      </c>
      <c r="P218" s="113" t="str">
        <f>IF(B218=_xlfn.XLOOKUP(B218,Feriados[FE Oficial],Feriados[FE Talvez],"",0),"",IF(B218&lt;$T$1,"",IF(Q218="Consulta","",IF(Q218="Compensado","",IF(N218="Sáb","",IF(S218&lt;&gt;"",(S218-R218)-(($AB$1-O218)-(D218-$Z$4)),IF(O218&gt;$AB$1,O218-$AB$1,IF(C218&gt;$Z$4,C218-$Z$4,IF(AND(N218="Sex",G218&lt;&gt;"",H218=""),$Z$3-G218,IF(AND(G218&lt;&gt;"",H218=""),$Z$3-G218,IF(AND(N218="Sex",H218&lt;$Y$3),$Z$3-H218,IF(AND(N218&lt;&gt;"Sex",H218&gt;$AA$8),"",IF(AND(N218="Sex",H218&gt;$Z$8),"",IF(AND(N218&lt;&gt;"Sex",I218&gt;$Z$8),$Z$8-H218,IF(AND(N218&lt;&gt;"Sex",H218&lt;$Y$8),$Z$8-H218,"")))))))))))))))</f>
        <v/>
      </c>
      <c r="Q218" s="33"/>
      <c r="R218" s="33"/>
      <c r="S218" s="33"/>
    </row>
    <row r="219" spans="1:19" x14ac:dyDescent="0.25">
      <c r="A219" s="115" t="s">
        <v>199</v>
      </c>
      <c r="B219" s="32">
        <v>43855</v>
      </c>
      <c r="C219" s="39">
        <f t="shared" si="15"/>
        <v>0.33333333333333331</v>
      </c>
      <c r="D219" s="33">
        <v>0.33333333333333331</v>
      </c>
      <c r="E219" s="33">
        <v>0.5</v>
      </c>
      <c r="F219" s="39">
        <f t="shared" si="16"/>
        <v>0.54166666666666663</v>
      </c>
      <c r="G219" s="33">
        <v>0.54166666666666663</v>
      </c>
      <c r="H219" s="33">
        <v>0.70833333333333337</v>
      </c>
      <c r="I219" s="39">
        <f>IFERROR(IF(B219=VLOOKUP(B219,Feriados[],2,0),H219,IF(N219="Sáb",H219,IF(AND(B219&lt;$T$1,H219&lt;=$AA$3),$Z$3,IF(AND(N219="Sex",H219&gt;$AA$3),H219,IF(H219&lt;=$AA$3,$Z$3,IF(H219&lt;=$AA$8,$Z$8,H219)))))),IF(N219="Sáb",H219,IF(AND(B219&lt;$T$1,H219&lt;=$AA$3),$Z$3,IF(AND(N219="Sex",H219&gt;$AA$3),H219,IF(H219&lt;=$AA$3,$Z$3,IF(H219&lt;=$AA$8,$Z$8,H219))))))</f>
        <v>0.70833333333333337</v>
      </c>
      <c r="J219" s="33">
        <f t="shared" si="17"/>
        <v>0.33333333333333343</v>
      </c>
      <c r="K219" s="33">
        <f>IFERROR(IF(H219="","",IF(B219=VLOOKUP(B219,Feriados[],2,0),(H219-D219)-(G219-E219),IF(D219&lt;=$Y$4,(I219-D219)-(G219-E219),(I219-C219)-(F219-E219)))),IF(AND(D219&lt;=$Y$4,F219-E219=$AB$1),(I219-D219)-(F219-E219),IF(D219&lt;$Y$4,(I219-D219)-(G219-E219),(I219-C219)-(F219-E219))))</f>
        <v>0.33333333333333343</v>
      </c>
      <c r="L219" s="40" t="str">
        <f>IF(B219=_xlfn.XLOOKUP(B219,Feriados[FE Oficial],Feriados[FE Talvez],"",0),"",IF(Q219="Compensado","",IF(AND(N219="Sex",D219&lt;$Y$4),($Z$4-D219)+$AB$1-(F219-E219)+(I219-$Z$3),IF(AND(N219="Sex",I219&gt;$Z$3),($AB$1-(F219-E219))+(I219-$Z$3),IF(AND(N219="Sex",E219&lt;&gt;"",D219&lt;$Y$4),($Z$4-D219)+$AB$1-(F219-E219)+(I219-$Z$3),IF(N219="Sáb",(I219-D219)-(G219-E219)-(S219-R219),IF(AND(B219&lt;$T$1,I219&gt;$Z$3),H219-$Z$3,IF(D219&lt;$Y$4,($Z$4-D219)+($AB$1-(F219-E219))+(I219-$Z$8)+(S219-R219),IF(AND(S219&lt;&gt;"",D219&gt;$Z$4),(S219-R219)-($AB$1-(F219-E219)),IF(AND(S219&lt;&gt;"",D219&lt;$Y$4),(S219-R219)-($AB$1-(F219-E219)+($Z$4-D219)),IF(I219&gt;$Z$8,($AB$1-(F219-E219))+(I219-$Z$8),IF(AND(N219="Sex",(F219-E219)&lt;($AB$1-$W$1)),($AB$1-(F219-E219)),IF(AND(O219&gt;($AB$1-$W$1),D219&gt;$Z$4),"",IF(AND(B219&gt;=$T$1,(F219-E219)&gt;($AB$1-$W$1)),"",IF(AND(D219&gt;=$Y$4,I219=$Z$8,S219=""),($AB$1-(F219-E219)),IF(AND(P219&lt;&gt;"",S219&lt;&gt;""),I219-$Z$8,IF(AND(P219&lt;&gt;"",D219&gt;$Y$4),$AB$1-(F219-E219),"")))))))))))))))))</f>
        <v/>
      </c>
      <c r="M219" s="107" t="str">
        <f>IFERROR(IF(H219="","",IF(B219=VLOOKUP(B219,Feriados[],2,0),(H219-D219)-(G219-E219),"")),"")</f>
        <v/>
      </c>
      <c r="N219" s="38" t="str">
        <f t="shared" si="18"/>
        <v>Sex</v>
      </c>
      <c r="O219" s="112">
        <f t="shared" si="19"/>
        <v>4.166666666666663E-2</v>
      </c>
      <c r="P219" s="113" t="str">
        <f>IF(B219=_xlfn.XLOOKUP(B219,Feriados[FE Oficial],Feriados[FE Talvez],"",0),"",IF(B219&lt;$T$1,"",IF(Q219="Consulta","",IF(Q219="Compensado","",IF(N219="Sáb","",IF(S219&lt;&gt;"",(S219-R219)-(($AB$1-O219)-(D219-$Z$4)),IF(O219&gt;$AB$1,O219-$AB$1,IF(C219&gt;$Z$4,C219-$Z$4,IF(AND(N219="Sex",G219&lt;&gt;"",H219=""),$Z$3-G219,IF(AND(G219&lt;&gt;"",H219=""),$Z$3-G219,IF(AND(N219="Sex",H219&lt;$Y$3),$Z$3-H219,IF(AND(N219&lt;&gt;"Sex",H219&gt;$AA$8),"",IF(AND(N219="Sex",H219&gt;$Z$8),"",IF(AND(N219&lt;&gt;"Sex",I219&gt;$Z$8),$Z$8-H219,IF(AND(N219&lt;&gt;"Sex",H219&lt;$Y$8),$Z$8-H219,"")))))))))))))))</f>
        <v/>
      </c>
      <c r="Q219" s="33"/>
      <c r="R219" s="33"/>
      <c r="S219" s="33"/>
    </row>
    <row r="220" spans="1:19" x14ac:dyDescent="0.25">
      <c r="A220" s="115" t="s">
        <v>200</v>
      </c>
      <c r="B220" s="32">
        <v>43855</v>
      </c>
      <c r="C220" s="39">
        <f t="shared" si="15"/>
        <v>0.33333333333333331</v>
      </c>
      <c r="D220" s="33">
        <v>0.32361111111111113</v>
      </c>
      <c r="E220" s="33">
        <v>0.5</v>
      </c>
      <c r="F220" s="39">
        <f t="shared" si="16"/>
        <v>0.54166666666666663</v>
      </c>
      <c r="G220" s="33">
        <v>0.54166666666666663</v>
      </c>
      <c r="H220" s="33">
        <v>0.70833333333333337</v>
      </c>
      <c r="I220" s="39">
        <f>IFERROR(IF(B220=VLOOKUP(B220,Feriados[],2,0),H220,IF(N220="Sáb",H220,IF(AND(B220&lt;$T$1,H220&lt;=$AA$3),$Z$3,IF(AND(N220="Sex",H220&gt;$AA$3),H220,IF(H220&lt;=$AA$3,$Z$3,IF(H220&lt;=$AA$8,$Z$8,H220)))))),IF(N220="Sáb",H220,IF(AND(B220&lt;$T$1,H220&lt;=$AA$3),$Z$3,IF(AND(N220="Sex",H220&gt;$AA$3),H220,IF(H220&lt;=$AA$3,$Z$3,IF(H220&lt;=$AA$8,$Z$8,H220))))))</f>
        <v>0.70833333333333337</v>
      </c>
      <c r="J220" s="33">
        <f t="shared" si="17"/>
        <v>0.33333333333333331</v>
      </c>
      <c r="K220" s="33">
        <f>IFERROR(IF(H220="","",IF(B220=VLOOKUP(B220,Feriados[],2,0),(H220-D220)-(G220-E220),IF(D220&lt;=$Y$4,(I220-D220)-(G220-E220),(I220-C220)-(F220-E220)))),IF(AND(D220&lt;=$Y$4,F220-E220=$AB$1),(I220-D220)-(F220-E220),IF(D220&lt;$Y$4,(I220-D220)-(G220-E220),(I220-C220)-(F220-E220))))</f>
        <v>0.34305555555555561</v>
      </c>
      <c r="L220" s="40">
        <f>IF(B220=_xlfn.XLOOKUP(B220,Feriados[FE Oficial],Feriados[FE Talvez],"",0),"",IF(Q220="Compensado","",IF(AND(N220="Sex",D220&lt;$Y$4),($Z$4-D220)+$AB$1-(F220-E220)+(I220-$Z$3),IF(AND(N220="Sex",I220&gt;$Z$3),($AB$1-(F220-E220))+(I220-$Z$3),IF(AND(N220="Sex",E220&lt;&gt;"",D220&lt;$Y$4),($Z$4-D220)+$AB$1-(F220-E220)+(I220-$Z$3),IF(N220="Sáb",(I220-D220)-(G220-E220)-(S220-R220),IF(AND(B220&lt;$T$1,I220&gt;$Z$3),H220-$Z$3,IF(D220&lt;$Y$4,($Z$4-D220)+($AB$1-(F220-E220))+(I220-$Z$8)+(S220-R220),IF(AND(S220&lt;&gt;"",D220&gt;$Z$4),(S220-R220)-($AB$1-(F220-E220)),IF(AND(S220&lt;&gt;"",D220&lt;$Y$4),(S220-R220)-($AB$1-(F220-E220)+($Z$4-D220)),IF(I220&gt;$Z$8,($AB$1-(F220-E220))+(I220-$Z$8),IF(AND(N220="Sex",(F220-E220)&lt;($AB$1-$W$1)),($AB$1-(F220-E220)),IF(AND(O220&gt;($AB$1-$W$1),D220&gt;$Z$4),"",IF(AND(B220&gt;=$T$1,(F220-E220)&gt;($AB$1-$W$1)),"",IF(AND(D220&gt;=$Y$4,I220=$Z$8,S220=""),($AB$1-(F220-E220)),IF(AND(P220&lt;&gt;"",S220&lt;&gt;""),I220-$Z$8,IF(AND(P220&lt;&gt;"",D220&gt;$Y$4),$AB$1-(F220-E220),"")))))))))))))))))</f>
        <v>9.7222222222222224E-3</v>
      </c>
      <c r="M220" s="107" t="str">
        <f>IFERROR(IF(H220="","",IF(B220=VLOOKUP(B220,Feriados[],2,0),(H220-D220)-(G220-E220),"")),"")</f>
        <v/>
      </c>
      <c r="N220" s="38" t="str">
        <f t="shared" si="18"/>
        <v>Sex</v>
      </c>
      <c r="O220" s="112">
        <f t="shared" si="19"/>
        <v>4.166666666666663E-2</v>
      </c>
      <c r="P220" s="113" t="str">
        <f>IF(B220=_xlfn.XLOOKUP(B220,Feriados[FE Oficial],Feriados[FE Talvez],"",0),"",IF(B220&lt;$T$1,"",IF(Q220="Consulta","",IF(Q220="Compensado","",IF(N220="Sáb","",IF(S220&lt;&gt;"",(S220-R220)-(($AB$1-O220)-(D220-$Z$4)),IF(O220&gt;$AB$1,O220-$AB$1,IF(C220&gt;$Z$4,C220-$Z$4,IF(AND(N220="Sex",G220&lt;&gt;"",H220=""),$Z$3-G220,IF(AND(G220&lt;&gt;"",H220=""),$Z$3-G220,IF(AND(N220="Sex",H220&lt;$Y$3),$Z$3-H220,IF(AND(N220&lt;&gt;"Sex",H220&gt;$AA$8),"",IF(AND(N220="Sex",H220&gt;$Z$8),"",IF(AND(N220&lt;&gt;"Sex",I220&gt;$Z$8),$Z$8-H220,IF(AND(N220&lt;&gt;"Sex",H220&lt;$Y$8),$Z$8-H220,"")))))))))))))))</f>
        <v/>
      </c>
      <c r="Q220" s="33"/>
      <c r="R220" s="33"/>
      <c r="S220" s="33"/>
    </row>
    <row r="221" spans="1:19" x14ac:dyDescent="0.25">
      <c r="A221" s="115" t="s">
        <v>175</v>
      </c>
      <c r="B221" s="32">
        <v>43858</v>
      </c>
      <c r="C221" s="39">
        <f t="shared" si="15"/>
        <v>0.33333333333333331</v>
      </c>
      <c r="D221" s="33">
        <v>0.32569444444444445</v>
      </c>
      <c r="E221" s="33">
        <v>0.5</v>
      </c>
      <c r="F221" s="39">
        <f t="shared" si="16"/>
        <v>0.54166666666666663</v>
      </c>
      <c r="G221" s="33">
        <v>0.54166666666666663</v>
      </c>
      <c r="H221" s="33">
        <v>0.75</v>
      </c>
      <c r="I221" s="39">
        <f>IFERROR(IF(B221=VLOOKUP(B221,Feriados[],2,0),H221,IF(N221="Sáb",H221,IF(AND(B221&lt;$T$1,H221&lt;=$AA$3),$Z$3,IF(AND(N221="Sex",H221&gt;$AA$3),H221,IF(H221&lt;=$AA$3,$Z$3,IF(H221&lt;=$AA$8,$Z$8,H221)))))),IF(N221="Sáb",H221,IF(AND(B221&lt;$T$1,H221&lt;=$AA$3),$Z$3,IF(AND(N221="Sex",H221&gt;$AA$3),H221,IF(H221&lt;=$AA$3,$Z$3,IF(H221&lt;=$AA$8,$Z$8,H221))))))</f>
        <v>0.75</v>
      </c>
      <c r="J221" s="33">
        <f t="shared" si="17"/>
        <v>0.375</v>
      </c>
      <c r="K221" s="33">
        <f>IFERROR(IF(H221="","",IF(B221=VLOOKUP(B221,Feriados[],2,0),(H221-D221)-(G221-E221),IF(D221&lt;=$Y$4,(I221-D221)-(G221-E221),(I221-C221)-(F221-E221)))),IF(AND(D221&lt;=$Y$4,F221-E221=$AB$1),(I221-D221)-(F221-E221),IF(D221&lt;$Y$4,(I221-D221)-(G221-E221),(I221-C221)-(F221-E221))))</f>
        <v>0.38263888888888892</v>
      </c>
      <c r="L221" s="40">
        <f>IF(B221=_xlfn.XLOOKUP(B221,Feriados[FE Oficial],Feriados[FE Talvez],"",0),"",IF(Q221="Compensado","",IF(AND(N221="Sex",D221&lt;$Y$4),($Z$4-D221)+$AB$1-(F221-E221)+(I221-$Z$3),IF(AND(N221="Sex",I221&gt;$Z$3),($AB$1-(F221-E221))+(I221-$Z$3),IF(AND(N221="Sex",E221&lt;&gt;"",D221&lt;$Y$4),($Z$4-D221)+$AB$1-(F221-E221)+(I221-$Z$3),IF(N221="Sáb",(I221-D221)-(G221-E221)-(S221-R221),IF(AND(B221&lt;$T$1,I221&gt;$Z$3),H221-$Z$3,IF(D221&lt;$Y$4,($Z$4-D221)+($AB$1-(F221-E221))+(I221-$Z$8)+(S221-R221),IF(AND(S221&lt;&gt;"",D221&gt;$Z$4),(S221-R221)-($AB$1-(F221-E221)),IF(AND(S221&lt;&gt;"",D221&lt;$Y$4),(S221-R221)-($AB$1-(F221-E221)+($Z$4-D221)),IF(I221&gt;$Z$8,($AB$1-(F221-E221))+(I221-$Z$8),IF(AND(N221="Sex",(F221-E221)&lt;($AB$1-$W$1)),($AB$1-(F221-E221)),IF(AND(O221&gt;($AB$1-$W$1),D221&gt;$Z$4),"",IF(AND(B221&gt;=$T$1,(F221-E221)&gt;($AB$1-$W$1)),"",IF(AND(D221&gt;=$Y$4,I221=$Z$8,S221=""),($AB$1-(F221-E221)),IF(AND(P221&lt;&gt;"",S221&lt;&gt;""),I221-$Z$8,IF(AND(P221&lt;&gt;"",D221&gt;$Y$4),$AB$1-(F221-E221),"")))))))))))))))))</f>
        <v>7.6388888888888964E-3</v>
      </c>
      <c r="M221" s="107" t="str">
        <f>IFERROR(IF(H221="","",IF(B221=VLOOKUP(B221,Feriados[],2,0),(H221-D221)-(G221-E221),"")),"")</f>
        <v/>
      </c>
      <c r="N221" s="38" t="str">
        <f t="shared" si="18"/>
        <v>Seg</v>
      </c>
      <c r="O221" s="112">
        <f t="shared" si="19"/>
        <v>4.166666666666663E-2</v>
      </c>
      <c r="P221" s="113" t="str">
        <f>IF(B221=_xlfn.XLOOKUP(B221,Feriados[FE Oficial],Feriados[FE Talvez],"",0),"",IF(B221&lt;$T$1,"",IF(Q221="Consulta","",IF(Q221="Compensado","",IF(N221="Sáb","",IF(S221&lt;&gt;"",(S221-R221)-(($AB$1-O221)-(D221-$Z$4)),IF(O221&gt;$AB$1,O221-$AB$1,IF(C221&gt;$Z$4,C221-$Z$4,IF(AND(N221="Sex",G221&lt;&gt;"",H221=""),$Z$3-G221,IF(AND(G221&lt;&gt;"",H221=""),$Z$3-G221,IF(AND(N221="Sex",H221&lt;$Y$3),$Z$3-H221,IF(AND(N221&lt;&gt;"Sex",H221&gt;$AA$8),"",IF(AND(N221="Sex",H221&gt;$Z$8),"",IF(AND(N221&lt;&gt;"Sex",I221&gt;$Z$8),$Z$8-H221,IF(AND(N221&lt;&gt;"Sex",H221&lt;$Y$8),$Z$8-H221,"")))))))))))))))</f>
        <v/>
      </c>
      <c r="Q221" s="33"/>
      <c r="R221" s="33"/>
      <c r="S221" s="33"/>
    </row>
    <row r="222" spans="1:19" x14ac:dyDescent="0.25">
      <c r="A222" s="115" t="s">
        <v>190</v>
      </c>
      <c r="B222" s="32">
        <v>43858</v>
      </c>
      <c r="C222" s="39">
        <f t="shared" si="15"/>
        <v>0.33333333333333331</v>
      </c>
      <c r="D222" s="33">
        <v>0.32569444444444445</v>
      </c>
      <c r="E222" s="33">
        <v>0.47916666666666669</v>
      </c>
      <c r="F222" s="39">
        <f t="shared" si="16"/>
        <v>0.52083333333333337</v>
      </c>
      <c r="G222" s="33">
        <v>0.52083333333333337</v>
      </c>
      <c r="H222" s="33">
        <v>0.75</v>
      </c>
      <c r="I222" s="39">
        <f>IFERROR(IF(B222=VLOOKUP(B222,Feriados[],2,0),H222,IF(N222="Sáb",H222,IF(AND(B222&lt;$T$1,H222&lt;=$AA$3),$Z$3,IF(AND(N222="Sex",H222&gt;$AA$3),H222,IF(H222&lt;=$AA$3,$Z$3,IF(H222&lt;=$AA$8,$Z$8,H222)))))),IF(N222="Sáb",H222,IF(AND(B222&lt;$T$1,H222&lt;=$AA$3),$Z$3,IF(AND(N222="Sex",H222&gt;$AA$3),H222,IF(H222&lt;=$AA$3,$Z$3,IF(H222&lt;=$AA$8,$Z$8,H222))))))</f>
        <v>0.75</v>
      </c>
      <c r="J222" s="33">
        <f t="shared" si="17"/>
        <v>0.375</v>
      </c>
      <c r="K222" s="33">
        <f>IFERROR(IF(H222="","",IF(B222=VLOOKUP(B222,Feriados[],2,0),(H222-D222)-(G222-E222),IF(D222&lt;=$Y$4,(I222-D222)-(G222-E222),(I222-C222)-(F222-E222)))),IF(AND(D222&lt;=$Y$4,F222-E222=$AB$1),(I222-D222)-(F222-E222),IF(D222&lt;$Y$4,(I222-D222)-(G222-E222),(I222-C222)-(F222-E222))))</f>
        <v>0.38263888888888886</v>
      </c>
      <c r="L222" s="40">
        <f>IF(B222=_xlfn.XLOOKUP(B222,Feriados[FE Oficial],Feriados[FE Talvez],"",0),"",IF(Q222="Compensado","",IF(AND(N222="Sex",D222&lt;$Y$4),($Z$4-D222)+$AB$1-(F222-E222)+(I222-$Z$3),IF(AND(N222="Sex",I222&gt;$Z$3),($AB$1-(F222-E222))+(I222-$Z$3),IF(AND(N222="Sex",E222&lt;&gt;"",D222&lt;$Y$4),($Z$4-D222)+$AB$1-(F222-E222)+(I222-$Z$3),IF(N222="Sáb",(I222-D222)-(G222-E222)-(S222-R222),IF(AND(B222&lt;$T$1,I222&gt;$Z$3),H222-$Z$3,IF(D222&lt;$Y$4,($Z$4-D222)+($AB$1-(F222-E222))+(I222-$Z$8)+(S222-R222),IF(AND(S222&lt;&gt;"",D222&gt;$Z$4),(S222-R222)-($AB$1-(F222-E222)),IF(AND(S222&lt;&gt;"",D222&lt;$Y$4),(S222-R222)-($AB$1-(F222-E222)+($Z$4-D222)),IF(I222&gt;$Z$8,($AB$1-(F222-E222))+(I222-$Z$8),IF(AND(N222="Sex",(F222-E222)&lt;($AB$1-$W$1)),($AB$1-(F222-E222)),IF(AND(O222&gt;($AB$1-$W$1),D222&gt;$Z$4),"",IF(AND(B222&gt;=$T$1,(F222-E222)&gt;($AB$1-$W$1)),"",IF(AND(D222&gt;=$Y$4,I222=$Z$8,S222=""),($AB$1-(F222-E222)),IF(AND(P222&lt;&gt;"",S222&lt;&gt;""),I222-$Z$8,IF(AND(P222&lt;&gt;"",D222&gt;$Y$4),$AB$1-(F222-E222),"")))))))))))))))))</f>
        <v>7.6388888888888409E-3</v>
      </c>
      <c r="M222" s="107" t="str">
        <f>IFERROR(IF(H222="","",IF(B222=VLOOKUP(B222,Feriados[],2,0),(H222-D222)-(G222-E222),"")),"")</f>
        <v/>
      </c>
      <c r="N222" s="38" t="str">
        <f t="shared" si="18"/>
        <v>Seg</v>
      </c>
      <c r="O222" s="112">
        <f t="shared" si="19"/>
        <v>4.1666666666666685E-2</v>
      </c>
      <c r="P222" s="113" t="str">
        <f>IF(B222=_xlfn.XLOOKUP(B222,Feriados[FE Oficial],Feriados[FE Talvez],"",0),"",IF(B222&lt;$T$1,"",IF(Q222="Consulta","",IF(Q222="Compensado","",IF(N222="Sáb","",IF(S222&lt;&gt;"",(S222-R222)-(($AB$1-O222)-(D222-$Z$4)),IF(O222&gt;$AB$1,O222-$AB$1,IF(C222&gt;$Z$4,C222-$Z$4,IF(AND(N222="Sex",G222&lt;&gt;"",H222=""),$Z$3-G222,IF(AND(G222&lt;&gt;"",H222=""),$Z$3-G222,IF(AND(N222="Sex",H222&lt;$Y$3),$Z$3-H222,IF(AND(N222&lt;&gt;"Sex",H222&gt;$AA$8),"",IF(AND(N222="Sex",H222&gt;$Z$8),"",IF(AND(N222&lt;&gt;"Sex",I222&gt;$Z$8),$Z$8-H222,IF(AND(N222&lt;&gt;"Sex",H222&lt;$Y$8),$Z$8-H222,"")))))))))))))))</f>
        <v/>
      </c>
      <c r="Q222" s="33"/>
      <c r="R222" s="33"/>
      <c r="S222" s="33"/>
    </row>
    <row r="223" spans="1:19" x14ac:dyDescent="0.25">
      <c r="A223" s="115" t="s">
        <v>194</v>
      </c>
      <c r="B223" s="32">
        <v>43858</v>
      </c>
      <c r="C223" s="39">
        <f t="shared" si="15"/>
        <v>0.33333333333333331</v>
      </c>
      <c r="D223" s="33">
        <v>0.29166666666666669</v>
      </c>
      <c r="E223" s="33">
        <v>0.5</v>
      </c>
      <c r="F223" s="39">
        <f t="shared" si="16"/>
        <v>0.54166666666666663</v>
      </c>
      <c r="G223" s="33">
        <v>0.54166666666666663</v>
      </c>
      <c r="H223" s="33">
        <v>0.75</v>
      </c>
      <c r="I223" s="39">
        <f>IFERROR(IF(B223=VLOOKUP(B223,Feriados[],2,0),H223,IF(N223="Sáb",H223,IF(AND(B223&lt;$T$1,H223&lt;=$AA$3),$Z$3,IF(AND(N223="Sex",H223&gt;$AA$3),H223,IF(H223&lt;=$AA$3,$Z$3,IF(H223&lt;=$AA$8,$Z$8,H223)))))),IF(N223="Sáb",H223,IF(AND(B223&lt;$T$1,H223&lt;=$AA$3),$Z$3,IF(AND(N223="Sex",H223&gt;$AA$3),H223,IF(H223&lt;=$AA$3,$Z$3,IF(H223&lt;=$AA$8,$Z$8,H223))))))</f>
        <v>0.75</v>
      </c>
      <c r="J223" s="33">
        <f t="shared" si="17"/>
        <v>0.375</v>
      </c>
      <c r="K223" s="33">
        <f>IFERROR(IF(H223="","",IF(B223=VLOOKUP(B223,Feriados[],2,0),(H223-D223)-(G223-E223),IF(D223&lt;=$Y$4,(I223-D223)-(G223-E223),(I223-C223)-(F223-E223)))),IF(AND(D223&lt;=$Y$4,F223-E223=$AB$1),(I223-D223)-(F223-E223),IF(D223&lt;$Y$4,(I223-D223)-(G223-E223),(I223-C223)-(F223-E223))))</f>
        <v>0.41666666666666669</v>
      </c>
      <c r="L223" s="40">
        <f>IF(B223=_xlfn.XLOOKUP(B223,Feriados[FE Oficial],Feriados[FE Talvez],"",0),"",IF(Q223="Compensado","",IF(AND(N223="Sex",D223&lt;$Y$4),($Z$4-D223)+$AB$1-(F223-E223)+(I223-$Z$3),IF(AND(N223="Sex",I223&gt;$Z$3),($AB$1-(F223-E223))+(I223-$Z$3),IF(AND(N223="Sex",E223&lt;&gt;"",D223&lt;$Y$4),($Z$4-D223)+$AB$1-(F223-E223)+(I223-$Z$3),IF(N223="Sáb",(I223-D223)-(G223-E223)-(S223-R223),IF(AND(B223&lt;$T$1,I223&gt;$Z$3),H223-$Z$3,IF(D223&lt;$Y$4,($Z$4-D223)+($AB$1-(F223-E223))+(I223-$Z$8)+(S223-R223),IF(AND(S223&lt;&gt;"",D223&gt;$Z$4),(S223-R223)-($AB$1-(F223-E223)),IF(AND(S223&lt;&gt;"",D223&lt;$Y$4),(S223-R223)-($AB$1-(F223-E223)+($Z$4-D223)),IF(I223&gt;$Z$8,($AB$1-(F223-E223))+(I223-$Z$8),IF(AND(N223="Sex",(F223-E223)&lt;($AB$1-$W$1)),($AB$1-(F223-E223)),IF(AND(O223&gt;($AB$1-$W$1),D223&gt;$Z$4),"",IF(AND(B223&gt;=$T$1,(F223-E223)&gt;($AB$1-$W$1)),"",IF(AND(D223&gt;=$Y$4,I223=$Z$8,S223=""),($AB$1-(F223-E223)),IF(AND(P223&lt;&gt;"",S223&lt;&gt;""),I223-$Z$8,IF(AND(P223&lt;&gt;"",D223&gt;$Y$4),$AB$1-(F223-E223),"")))))))))))))))))</f>
        <v>4.1666666666666664E-2</v>
      </c>
      <c r="M223" s="107" t="str">
        <f>IFERROR(IF(H223="","",IF(B223=VLOOKUP(B223,Feriados[],2,0),(H223-D223)-(G223-E223),"")),"")</f>
        <v/>
      </c>
      <c r="N223" s="38" t="str">
        <f t="shared" si="18"/>
        <v>Seg</v>
      </c>
      <c r="O223" s="112">
        <f t="shared" si="19"/>
        <v>4.166666666666663E-2</v>
      </c>
      <c r="P223" s="113" t="str">
        <f>IF(B223=_xlfn.XLOOKUP(B223,Feriados[FE Oficial],Feriados[FE Talvez],"",0),"",IF(B223&lt;$T$1,"",IF(Q223="Consulta","",IF(Q223="Compensado","",IF(N223="Sáb","",IF(S223&lt;&gt;"",(S223-R223)-(($AB$1-O223)-(D223-$Z$4)),IF(O223&gt;$AB$1,O223-$AB$1,IF(C223&gt;$Z$4,C223-$Z$4,IF(AND(N223="Sex",G223&lt;&gt;"",H223=""),$Z$3-G223,IF(AND(G223&lt;&gt;"",H223=""),$Z$3-G223,IF(AND(N223="Sex",H223&lt;$Y$3),$Z$3-H223,IF(AND(N223&lt;&gt;"Sex",H223&gt;$AA$8),"",IF(AND(N223="Sex",H223&gt;$Z$8),"",IF(AND(N223&lt;&gt;"Sex",I223&gt;$Z$8),$Z$8-H223,IF(AND(N223&lt;&gt;"Sex",H223&lt;$Y$8),$Z$8-H223,"")))))))))))))))</f>
        <v/>
      </c>
      <c r="Q223" s="33"/>
      <c r="R223" s="33"/>
      <c r="S223" s="33"/>
    </row>
    <row r="224" spans="1:19" x14ac:dyDescent="0.25">
      <c r="A224" s="115" t="s">
        <v>197</v>
      </c>
      <c r="B224" s="32">
        <v>43858</v>
      </c>
      <c r="C224" s="39">
        <f t="shared" si="15"/>
        <v>0.33333333333333331</v>
      </c>
      <c r="D224" s="33">
        <v>0.32569444444444445</v>
      </c>
      <c r="E224" s="33">
        <v>0.5</v>
      </c>
      <c r="F224" s="39">
        <f t="shared" si="16"/>
        <v>0.54166666666666663</v>
      </c>
      <c r="G224" s="33">
        <v>0.54166666666666663</v>
      </c>
      <c r="H224" s="33">
        <v>0.75</v>
      </c>
      <c r="I224" s="39">
        <f>IFERROR(IF(B224=VLOOKUP(B224,Feriados[],2,0),H224,IF(N224="Sáb",H224,IF(AND(B224&lt;$T$1,H224&lt;=$AA$3),$Z$3,IF(AND(N224="Sex",H224&gt;$AA$3),H224,IF(H224&lt;=$AA$3,$Z$3,IF(H224&lt;=$AA$8,$Z$8,H224)))))),IF(N224="Sáb",H224,IF(AND(B224&lt;$T$1,H224&lt;=$AA$3),$Z$3,IF(AND(N224="Sex",H224&gt;$AA$3),H224,IF(H224&lt;=$AA$3,$Z$3,IF(H224&lt;=$AA$8,$Z$8,H224))))))</f>
        <v>0.75</v>
      </c>
      <c r="J224" s="33">
        <f t="shared" si="17"/>
        <v>0.375</v>
      </c>
      <c r="K224" s="33">
        <f>IFERROR(IF(H224="","",IF(B224=VLOOKUP(B224,Feriados[],2,0),(H224-D224)-(G224-E224),IF(D224&lt;=$Y$4,(I224-D224)-(G224-E224),(I224-C224)-(F224-E224)))),IF(AND(D224&lt;=$Y$4,F224-E224=$AB$1),(I224-D224)-(F224-E224),IF(D224&lt;$Y$4,(I224-D224)-(G224-E224),(I224-C224)-(F224-E224))))</f>
        <v>0.38263888888888892</v>
      </c>
      <c r="L224" s="40">
        <f>IF(B224=_xlfn.XLOOKUP(B224,Feriados[FE Oficial],Feriados[FE Talvez],"",0),"",IF(Q224="Compensado","",IF(AND(N224="Sex",D224&lt;$Y$4),($Z$4-D224)+$AB$1-(F224-E224)+(I224-$Z$3),IF(AND(N224="Sex",I224&gt;$Z$3),($AB$1-(F224-E224))+(I224-$Z$3),IF(AND(N224="Sex",E224&lt;&gt;"",D224&lt;$Y$4),($Z$4-D224)+$AB$1-(F224-E224)+(I224-$Z$3),IF(N224="Sáb",(I224-D224)-(G224-E224)-(S224-R224),IF(AND(B224&lt;$T$1,I224&gt;$Z$3),H224-$Z$3,IF(D224&lt;$Y$4,($Z$4-D224)+($AB$1-(F224-E224))+(I224-$Z$8)+(S224-R224),IF(AND(S224&lt;&gt;"",D224&gt;$Z$4),(S224-R224)-($AB$1-(F224-E224)),IF(AND(S224&lt;&gt;"",D224&lt;$Y$4),(S224-R224)-($AB$1-(F224-E224)+($Z$4-D224)),IF(I224&gt;$Z$8,($AB$1-(F224-E224))+(I224-$Z$8),IF(AND(N224="Sex",(F224-E224)&lt;($AB$1-$W$1)),($AB$1-(F224-E224)),IF(AND(O224&gt;($AB$1-$W$1),D224&gt;$Z$4),"",IF(AND(B224&gt;=$T$1,(F224-E224)&gt;($AB$1-$W$1)),"",IF(AND(D224&gt;=$Y$4,I224=$Z$8,S224=""),($AB$1-(F224-E224)),IF(AND(P224&lt;&gt;"",S224&lt;&gt;""),I224-$Z$8,IF(AND(P224&lt;&gt;"",D224&gt;$Y$4),$AB$1-(F224-E224),"")))))))))))))))))</f>
        <v>7.6388888888888964E-3</v>
      </c>
      <c r="M224" s="107" t="str">
        <f>IFERROR(IF(H224="","",IF(B224=VLOOKUP(B224,Feriados[],2,0),(H224-D224)-(G224-E224),"")),"")</f>
        <v/>
      </c>
      <c r="N224" s="38" t="str">
        <f t="shared" si="18"/>
        <v>Seg</v>
      </c>
      <c r="O224" s="112">
        <f t="shared" si="19"/>
        <v>4.166666666666663E-2</v>
      </c>
      <c r="P224" s="113" t="str">
        <f>IF(B224=_xlfn.XLOOKUP(B224,Feriados[FE Oficial],Feriados[FE Talvez],"",0),"",IF(B224&lt;$T$1,"",IF(Q224="Consulta","",IF(Q224="Compensado","",IF(N224="Sáb","",IF(S224&lt;&gt;"",(S224-R224)-(($AB$1-O224)-(D224-$Z$4)),IF(O224&gt;$AB$1,O224-$AB$1,IF(C224&gt;$Z$4,C224-$Z$4,IF(AND(N224="Sex",G224&lt;&gt;"",H224=""),$Z$3-G224,IF(AND(G224&lt;&gt;"",H224=""),$Z$3-G224,IF(AND(N224="Sex",H224&lt;$Y$3),$Z$3-H224,IF(AND(N224&lt;&gt;"Sex",H224&gt;$AA$8),"",IF(AND(N224="Sex",H224&gt;$Z$8),"",IF(AND(N224&lt;&gt;"Sex",I224&gt;$Z$8),$Z$8-H224,IF(AND(N224&lt;&gt;"Sex",H224&lt;$Y$8),$Z$8-H224,"")))))))))))))))</f>
        <v/>
      </c>
      <c r="Q224" s="33"/>
      <c r="R224" s="33"/>
      <c r="S224" s="33"/>
    </row>
    <row r="225" spans="1:19" x14ac:dyDescent="0.25">
      <c r="A225" s="115" t="s">
        <v>198</v>
      </c>
      <c r="B225" s="32">
        <v>43858</v>
      </c>
      <c r="C225" s="39">
        <f t="shared" si="15"/>
        <v>0.33333333333333331</v>
      </c>
      <c r="D225" s="33">
        <v>0.32569444444444445</v>
      </c>
      <c r="E225" s="33">
        <v>0.5</v>
      </c>
      <c r="F225" s="39">
        <f t="shared" si="16"/>
        <v>0.54166666666666663</v>
      </c>
      <c r="G225" s="33">
        <v>0.54166666666666663</v>
      </c>
      <c r="H225" s="33">
        <v>0.75</v>
      </c>
      <c r="I225" s="39">
        <f>IFERROR(IF(B225=VLOOKUP(B225,Feriados[],2,0),H225,IF(N225="Sáb",H225,IF(AND(B225&lt;$T$1,H225&lt;=$AA$3),$Z$3,IF(AND(N225="Sex",H225&gt;$AA$3),H225,IF(H225&lt;=$AA$3,$Z$3,IF(H225&lt;=$AA$8,$Z$8,H225)))))),IF(N225="Sáb",H225,IF(AND(B225&lt;$T$1,H225&lt;=$AA$3),$Z$3,IF(AND(N225="Sex",H225&gt;$AA$3),H225,IF(H225&lt;=$AA$3,$Z$3,IF(H225&lt;=$AA$8,$Z$8,H225))))))</f>
        <v>0.75</v>
      </c>
      <c r="J225" s="33">
        <f t="shared" si="17"/>
        <v>0.375</v>
      </c>
      <c r="K225" s="33">
        <f>IFERROR(IF(H225="","",IF(B225=VLOOKUP(B225,Feriados[],2,0),(H225-D225)-(G225-E225),IF(D225&lt;=$Y$4,(I225-D225)-(G225-E225),(I225-C225)-(F225-E225)))),IF(AND(D225&lt;=$Y$4,F225-E225=$AB$1),(I225-D225)-(F225-E225),IF(D225&lt;$Y$4,(I225-D225)-(G225-E225),(I225-C225)-(F225-E225))))</f>
        <v>0.38263888888888892</v>
      </c>
      <c r="L225" s="40">
        <f>IF(B225=_xlfn.XLOOKUP(B225,Feriados[FE Oficial],Feriados[FE Talvez],"",0),"",IF(Q225="Compensado","",IF(AND(N225="Sex",D225&lt;$Y$4),($Z$4-D225)+$AB$1-(F225-E225)+(I225-$Z$3),IF(AND(N225="Sex",I225&gt;$Z$3),($AB$1-(F225-E225))+(I225-$Z$3),IF(AND(N225="Sex",E225&lt;&gt;"",D225&lt;$Y$4),($Z$4-D225)+$AB$1-(F225-E225)+(I225-$Z$3),IF(N225="Sáb",(I225-D225)-(G225-E225)-(S225-R225),IF(AND(B225&lt;$T$1,I225&gt;$Z$3),H225-$Z$3,IF(D225&lt;$Y$4,($Z$4-D225)+($AB$1-(F225-E225))+(I225-$Z$8)+(S225-R225),IF(AND(S225&lt;&gt;"",D225&gt;$Z$4),(S225-R225)-($AB$1-(F225-E225)),IF(AND(S225&lt;&gt;"",D225&lt;$Y$4),(S225-R225)-($AB$1-(F225-E225)+($Z$4-D225)),IF(I225&gt;$Z$8,($AB$1-(F225-E225))+(I225-$Z$8),IF(AND(N225="Sex",(F225-E225)&lt;($AB$1-$W$1)),($AB$1-(F225-E225)),IF(AND(O225&gt;($AB$1-$W$1),D225&gt;$Z$4),"",IF(AND(B225&gt;=$T$1,(F225-E225)&gt;($AB$1-$W$1)),"",IF(AND(D225&gt;=$Y$4,I225=$Z$8,S225=""),($AB$1-(F225-E225)),IF(AND(P225&lt;&gt;"",S225&lt;&gt;""),I225-$Z$8,IF(AND(P225&lt;&gt;"",D225&gt;$Y$4),$AB$1-(F225-E225),"")))))))))))))))))</f>
        <v>7.6388888888888964E-3</v>
      </c>
      <c r="M225" s="107" t="str">
        <f>IFERROR(IF(H225="","",IF(B225=VLOOKUP(B225,Feriados[],2,0),(H225-D225)-(G225-E225),"")),"")</f>
        <v/>
      </c>
      <c r="N225" s="38" t="str">
        <f t="shared" si="18"/>
        <v>Seg</v>
      </c>
      <c r="O225" s="112">
        <f t="shared" si="19"/>
        <v>4.166666666666663E-2</v>
      </c>
      <c r="P225" s="113" t="str">
        <f>IF(B225=_xlfn.XLOOKUP(B225,Feriados[FE Oficial],Feriados[FE Talvez],"",0),"",IF(B225&lt;$T$1,"",IF(Q225="Consulta","",IF(Q225="Compensado","",IF(N225="Sáb","",IF(S225&lt;&gt;"",(S225-R225)-(($AB$1-O225)-(D225-$Z$4)),IF(O225&gt;$AB$1,O225-$AB$1,IF(C225&gt;$Z$4,C225-$Z$4,IF(AND(N225="Sex",G225&lt;&gt;"",H225=""),$Z$3-G225,IF(AND(G225&lt;&gt;"",H225=""),$Z$3-G225,IF(AND(N225="Sex",H225&lt;$Y$3),$Z$3-H225,IF(AND(N225&lt;&gt;"Sex",H225&gt;$AA$8),"",IF(AND(N225="Sex",H225&gt;$Z$8),"",IF(AND(N225&lt;&gt;"Sex",I225&gt;$Z$8),$Z$8-H225,IF(AND(N225&lt;&gt;"Sex",H225&lt;$Y$8),$Z$8-H225,"")))))))))))))))</f>
        <v/>
      </c>
      <c r="Q225" s="33"/>
      <c r="R225" s="33"/>
      <c r="S225" s="33"/>
    </row>
    <row r="226" spans="1:19" x14ac:dyDescent="0.25">
      <c r="A226" s="115" t="s">
        <v>199</v>
      </c>
      <c r="B226" s="32">
        <v>43858</v>
      </c>
      <c r="C226" s="39">
        <f t="shared" si="15"/>
        <v>0.33333333333333331</v>
      </c>
      <c r="D226" s="33">
        <v>0.32569444444444445</v>
      </c>
      <c r="E226" s="33">
        <v>0.5</v>
      </c>
      <c r="F226" s="39">
        <f t="shared" si="16"/>
        <v>0.54166666666666663</v>
      </c>
      <c r="G226" s="33">
        <v>0.54166666666666663</v>
      </c>
      <c r="H226" s="33">
        <v>0.75</v>
      </c>
      <c r="I226" s="39">
        <f>IFERROR(IF(B226=VLOOKUP(B226,Feriados[],2,0),H226,IF(N226="Sáb",H226,IF(AND(B226&lt;$T$1,H226&lt;=$AA$3),$Z$3,IF(AND(N226="Sex",H226&gt;$AA$3),H226,IF(H226&lt;=$AA$3,$Z$3,IF(H226&lt;=$AA$8,$Z$8,H226)))))),IF(N226="Sáb",H226,IF(AND(B226&lt;$T$1,H226&lt;=$AA$3),$Z$3,IF(AND(N226="Sex",H226&gt;$AA$3),H226,IF(H226&lt;=$AA$3,$Z$3,IF(H226&lt;=$AA$8,$Z$8,H226))))))</f>
        <v>0.75</v>
      </c>
      <c r="J226" s="33">
        <f t="shared" si="17"/>
        <v>0.375</v>
      </c>
      <c r="K226" s="33">
        <f>IFERROR(IF(H226="","",IF(B226=VLOOKUP(B226,Feriados[],2,0),(H226-D226)-(G226-E226),IF(D226&lt;=$Y$4,(I226-D226)-(G226-E226),(I226-C226)-(F226-E226)))),IF(AND(D226&lt;=$Y$4,F226-E226=$AB$1),(I226-D226)-(F226-E226),IF(D226&lt;$Y$4,(I226-D226)-(G226-E226),(I226-C226)-(F226-E226))))</f>
        <v>0.38263888888888892</v>
      </c>
      <c r="L226" s="40">
        <f>IF(B226=_xlfn.XLOOKUP(B226,Feriados[FE Oficial],Feriados[FE Talvez],"",0),"",IF(Q226="Compensado","",IF(AND(N226="Sex",D226&lt;$Y$4),($Z$4-D226)+$AB$1-(F226-E226)+(I226-$Z$3),IF(AND(N226="Sex",I226&gt;$Z$3),($AB$1-(F226-E226))+(I226-$Z$3),IF(AND(N226="Sex",E226&lt;&gt;"",D226&lt;$Y$4),($Z$4-D226)+$AB$1-(F226-E226)+(I226-$Z$3),IF(N226="Sáb",(I226-D226)-(G226-E226)-(S226-R226),IF(AND(B226&lt;$T$1,I226&gt;$Z$3),H226-$Z$3,IF(D226&lt;$Y$4,($Z$4-D226)+($AB$1-(F226-E226))+(I226-$Z$8)+(S226-R226),IF(AND(S226&lt;&gt;"",D226&gt;$Z$4),(S226-R226)-($AB$1-(F226-E226)),IF(AND(S226&lt;&gt;"",D226&lt;$Y$4),(S226-R226)-($AB$1-(F226-E226)+($Z$4-D226)),IF(I226&gt;$Z$8,($AB$1-(F226-E226))+(I226-$Z$8),IF(AND(N226="Sex",(F226-E226)&lt;($AB$1-$W$1)),($AB$1-(F226-E226)),IF(AND(O226&gt;($AB$1-$W$1),D226&gt;$Z$4),"",IF(AND(B226&gt;=$T$1,(F226-E226)&gt;($AB$1-$W$1)),"",IF(AND(D226&gt;=$Y$4,I226=$Z$8,S226=""),($AB$1-(F226-E226)),IF(AND(P226&lt;&gt;"",S226&lt;&gt;""),I226-$Z$8,IF(AND(P226&lt;&gt;"",D226&gt;$Y$4),$AB$1-(F226-E226),"")))))))))))))))))</f>
        <v>7.6388888888888964E-3</v>
      </c>
      <c r="M226" s="107" t="str">
        <f>IFERROR(IF(H226="","",IF(B226=VLOOKUP(B226,Feriados[],2,0),(H226-D226)-(G226-E226),"")),"")</f>
        <v/>
      </c>
      <c r="N226" s="38" t="str">
        <f t="shared" si="18"/>
        <v>Seg</v>
      </c>
      <c r="O226" s="112">
        <f t="shared" si="19"/>
        <v>4.166666666666663E-2</v>
      </c>
      <c r="P226" s="113" t="str">
        <f>IF(B226=_xlfn.XLOOKUP(B226,Feriados[FE Oficial],Feriados[FE Talvez],"",0),"",IF(B226&lt;$T$1,"",IF(Q226="Consulta","",IF(Q226="Compensado","",IF(N226="Sáb","",IF(S226&lt;&gt;"",(S226-R226)-(($AB$1-O226)-(D226-$Z$4)),IF(O226&gt;$AB$1,O226-$AB$1,IF(C226&gt;$Z$4,C226-$Z$4,IF(AND(N226="Sex",G226&lt;&gt;"",H226=""),$Z$3-G226,IF(AND(G226&lt;&gt;"",H226=""),$Z$3-G226,IF(AND(N226="Sex",H226&lt;$Y$3),$Z$3-H226,IF(AND(N226&lt;&gt;"Sex",H226&gt;$AA$8),"",IF(AND(N226="Sex",H226&gt;$Z$8),"",IF(AND(N226&lt;&gt;"Sex",I226&gt;$Z$8),$Z$8-H226,IF(AND(N226&lt;&gt;"Sex",H226&lt;$Y$8),$Z$8-H226,"")))))))))))))))</f>
        <v/>
      </c>
      <c r="Q226" s="33"/>
      <c r="R226" s="33"/>
      <c r="S226" s="33"/>
    </row>
    <row r="227" spans="1:19" x14ac:dyDescent="0.25">
      <c r="A227" s="116" t="s">
        <v>200</v>
      </c>
      <c r="B227" s="32">
        <v>43858</v>
      </c>
      <c r="C227" s="39">
        <f t="shared" si="15"/>
        <v>0.33333333333333331</v>
      </c>
      <c r="D227" s="33">
        <v>0.32569444444444445</v>
      </c>
      <c r="E227" s="33">
        <v>0.5</v>
      </c>
      <c r="F227" s="39">
        <f t="shared" si="16"/>
        <v>0.54166666666666663</v>
      </c>
      <c r="G227" s="33">
        <v>0.54166666666666663</v>
      </c>
      <c r="H227" s="33">
        <v>0.75</v>
      </c>
      <c r="I227" s="39">
        <f>IFERROR(IF(B227=VLOOKUP(B227,Feriados[],2,0),H227,IF(N227="Sáb",H227,IF(AND(B227&lt;$T$1,H227&lt;=$AA$3),$Z$3,IF(AND(N227="Sex",H227&gt;$AA$3),H227,IF(H227&lt;=$AA$3,$Z$3,IF(H227&lt;=$AA$8,$Z$8,H227)))))),IF(N227="Sáb",H227,IF(AND(B227&lt;$T$1,H227&lt;=$AA$3),$Z$3,IF(AND(N227="Sex",H227&gt;$AA$3),H227,IF(H227&lt;=$AA$3,$Z$3,IF(H227&lt;=$AA$8,$Z$8,H227))))))</f>
        <v>0.75</v>
      </c>
      <c r="J227" s="33">
        <f t="shared" si="17"/>
        <v>0.375</v>
      </c>
      <c r="K227" s="33">
        <f>IFERROR(IF(H227="","",IF(B227=VLOOKUP(B227,Feriados[],2,0),(H227-D227)-(G227-E227),IF(D227&lt;=$Y$4,(I227-D227)-(G227-E227),(I227-C227)-(F227-E227)))),IF(AND(D227&lt;=$Y$4,F227-E227=$AB$1),(I227-D227)-(F227-E227),IF(D227&lt;$Y$4,(I227-D227)-(G227-E227),(I227-C227)-(F227-E227))))</f>
        <v>0.38263888888888892</v>
      </c>
      <c r="L227" s="40">
        <f>IF(B227=_xlfn.XLOOKUP(B227,Feriados[FE Oficial],Feriados[FE Talvez],"",0),"",IF(Q227="Compensado","",IF(AND(N227="Sex",D227&lt;$Y$4),($Z$4-D227)+$AB$1-(F227-E227)+(I227-$Z$3),IF(AND(N227="Sex",I227&gt;$Z$3),($AB$1-(F227-E227))+(I227-$Z$3),IF(AND(N227="Sex",E227&lt;&gt;"",D227&lt;$Y$4),($Z$4-D227)+$AB$1-(F227-E227)+(I227-$Z$3),IF(N227="Sáb",(I227-D227)-(G227-E227)-(S227-R227),IF(AND(B227&lt;$T$1,I227&gt;$Z$3),H227-$Z$3,IF(D227&lt;$Y$4,($Z$4-D227)+($AB$1-(F227-E227))+(I227-$Z$8)+(S227-R227),IF(AND(S227&lt;&gt;"",D227&gt;$Z$4),(S227-R227)-($AB$1-(F227-E227)),IF(AND(S227&lt;&gt;"",D227&lt;$Y$4),(S227-R227)-($AB$1-(F227-E227)+($Z$4-D227)),IF(I227&gt;$Z$8,($AB$1-(F227-E227))+(I227-$Z$8),IF(AND(N227="Sex",(F227-E227)&lt;($AB$1-$W$1)),($AB$1-(F227-E227)),IF(AND(O227&gt;($AB$1-$W$1),D227&gt;$Z$4),"",IF(AND(B227&gt;=$T$1,(F227-E227)&gt;($AB$1-$W$1)),"",IF(AND(D227&gt;=$Y$4,I227=$Z$8,S227=""),($AB$1-(F227-E227)),IF(AND(P227&lt;&gt;"",S227&lt;&gt;""),I227-$Z$8,IF(AND(P227&lt;&gt;"",D227&gt;$Y$4),$AB$1-(F227-E227),"")))))))))))))))))</f>
        <v>7.6388888888888964E-3</v>
      </c>
      <c r="M227" s="107" t="str">
        <f>IFERROR(IF(H227="","",IF(B227=VLOOKUP(B227,Feriados[],2,0),(H227-D227)-(G227-E227),"")),"")</f>
        <v/>
      </c>
      <c r="N227" s="38" t="str">
        <f t="shared" si="18"/>
        <v>Seg</v>
      </c>
      <c r="O227" s="112">
        <f t="shared" si="19"/>
        <v>4.166666666666663E-2</v>
      </c>
      <c r="P227" s="113" t="str">
        <f>IF(B227=_xlfn.XLOOKUP(B227,Feriados[FE Oficial],Feriados[FE Talvez],"",0),"",IF(B227&lt;$T$1,"",IF(Q227="Consulta","",IF(Q227="Compensado","",IF(N227="Sáb","",IF(S227&lt;&gt;"",(S227-R227)-(($AB$1-O227)-(D227-$Z$4)),IF(O227&gt;$AB$1,O227-$AB$1,IF(C227&gt;$Z$4,C227-$Z$4,IF(AND(N227="Sex",G227&lt;&gt;"",H227=""),$Z$3-G227,IF(AND(G227&lt;&gt;"",H227=""),$Z$3-G227,IF(AND(N227="Sex",H227&lt;$Y$3),$Z$3-H227,IF(AND(N227&lt;&gt;"Sex",H227&gt;$AA$8),"",IF(AND(N227="Sex",H227&gt;$Z$8),"",IF(AND(N227&lt;&gt;"Sex",I227&gt;$Z$8),$Z$8-H227,IF(AND(N227&lt;&gt;"Sex",H227&lt;$Y$8),$Z$8-H227,"")))))))))))))))</f>
        <v/>
      </c>
      <c r="Q227" s="33"/>
      <c r="R227" s="33"/>
      <c r="S227" s="33"/>
    </row>
    <row r="228" spans="1:19" x14ac:dyDescent="0.25">
      <c r="A228" s="116" t="s">
        <v>190</v>
      </c>
      <c r="B228" s="32">
        <v>43859</v>
      </c>
      <c r="C228" s="39">
        <f t="shared" si="15"/>
        <v>0.33333333333333331</v>
      </c>
      <c r="D228" s="33">
        <v>0.33124999999999999</v>
      </c>
      <c r="E228" s="33">
        <v>0.48055555555555557</v>
      </c>
      <c r="F228" s="39">
        <f t="shared" si="16"/>
        <v>0.52222222222222225</v>
      </c>
      <c r="G228" s="33">
        <v>0.52083333333333337</v>
      </c>
      <c r="H228" s="33">
        <v>0.75</v>
      </c>
      <c r="I228" s="39">
        <f>IFERROR(IF(B228=VLOOKUP(B228,Feriados[],2,0),H228,IF(N228="Sáb",H228,IF(AND(B228&lt;$T$1,H228&lt;=$AA$3),$Z$3,IF(AND(N228="Sex",H228&gt;$AA$3),H228,IF(H228&lt;=$AA$3,$Z$3,IF(H228&lt;=$AA$8,$Z$8,H228)))))),IF(N228="Sáb",H228,IF(AND(B228&lt;$T$1,H228&lt;=$AA$3),$Z$3,IF(AND(N228="Sex",H228&gt;$AA$3),H228,IF(H228&lt;=$AA$3,$Z$3,IF(H228&lt;=$AA$8,$Z$8,H228))))))</f>
        <v>0.75</v>
      </c>
      <c r="J228" s="33">
        <f t="shared" si="17"/>
        <v>0.375</v>
      </c>
      <c r="K228" s="33">
        <f>IFERROR(IF(H228="","",IF(B228=VLOOKUP(B228,Feriados[],2,0),(H228-D228)-(G228-E228),IF(D228&lt;=$Y$4,(I228-D228)-(G228-E228),(I228-C228)-(F228-E228)))),IF(AND(D228&lt;=$Y$4,F228-E228=$AB$1),(I228-D228)-(F228-E228),IF(D228&lt;$Y$4,(I228-D228)-(G228-E228),(I228-C228)-(F228-E228))))</f>
        <v>0.375</v>
      </c>
      <c r="L228" s="40" t="str">
        <f>IF(B228=_xlfn.XLOOKUP(B228,Feriados[FE Oficial],Feriados[FE Talvez],"",0),"",IF(Q228="Compensado","",IF(AND(N228="Sex",D228&lt;$Y$4),($Z$4-D228)+$AB$1-(F228-E228)+(I228-$Z$3),IF(AND(N228="Sex",I228&gt;$Z$3),($AB$1-(F228-E228))+(I228-$Z$3),IF(AND(N228="Sex",E228&lt;&gt;"",D228&lt;$Y$4),($Z$4-D228)+$AB$1-(F228-E228)+(I228-$Z$3),IF(N228="Sáb",(I228-D228)-(G228-E228)-(S228-R228),IF(AND(B228&lt;$T$1,I228&gt;$Z$3),H228-$Z$3,IF(D228&lt;$Y$4,($Z$4-D228)+($AB$1-(F228-E228))+(I228-$Z$8)+(S228-R228),IF(AND(S228&lt;&gt;"",D228&gt;$Z$4),(S228-R228)-($AB$1-(F228-E228)),IF(AND(S228&lt;&gt;"",D228&lt;$Y$4),(S228-R228)-($AB$1-(F228-E228)+($Z$4-D228)),IF(I228&gt;$Z$8,($AB$1-(F228-E228))+(I228-$Z$8),IF(AND(N228="Sex",(F228-E228)&lt;($AB$1-$W$1)),($AB$1-(F228-E228)),IF(AND(O228&gt;($AB$1-$W$1),D228&gt;$Z$4),"",IF(AND(B228&gt;=$T$1,(F228-E228)&gt;($AB$1-$W$1)),"",IF(AND(D228&gt;=$Y$4,I228=$Z$8,S228=""),($AB$1-(F228-E228)),IF(AND(P228&lt;&gt;"",S228&lt;&gt;""),I228-$Z$8,IF(AND(P228&lt;&gt;"",D228&gt;$Y$4),$AB$1-(F228-E228),"")))))))))))))))))</f>
        <v/>
      </c>
      <c r="M228" s="107" t="str">
        <f>IFERROR(IF(H228="","",IF(B228=VLOOKUP(B228,Feriados[],2,0),(H228-D228)-(G228-E228),"")),"")</f>
        <v/>
      </c>
      <c r="N228" s="38" t="str">
        <f t="shared" si="18"/>
        <v>Ter</v>
      </c>
      <c r="O228" s="112">
        <f t="shared" si="19"/>
        <v>4.0277777777777801E-2</v>
      </c>
      <c r="P228" s="113" t="str">
        <f>IF(B228=_xlfn.XLOOKUP(B228,Feriados[FE Oficial],Feriados[FE Talvez],"",0),"",IF(B228&lt;$T$1,"",IF(Q228="Consulta","",IF(Q228="Compensado","",IF(N228="Sáb","",IF(S228&lt;&gt;"",(S228-R228)-(($AB$1-O228)-(D228-$Z$4)),IF(O228&gt;$AB$1,O228-$AB$1,IF(C228&gt;$Z$4,C228-$Z$4,IF(AND(N228="Sex",G228&lt;&gt;"",H228=""),$Z$3-G228,IF(AND(G228&lt;&gt;"",H228=""),$Z$3-G228,IF(AND(N228="Sex",H228&lt;$Y$3),$Z$3-H228,IF(AND(N228&lt;&gt;"Sex",H228&gt;$AA$8),"",IF(AND(N228="Sex",H228&gt;$Z$8),"",IF(AND(N228&lt;&gt;"Sex",I228&gt;$Z$8),$Z$8-H228,IF(AND(N228&lt;&gt;"Sex",H228&lt;$Y$8),$Z$8-H228,"")))))))))))))))</f>
        <v/>
      </c>
      <c r="Q228" s="33"/>
      <c r="R228" s="33"/>
      <c r="S228" s="33"/>
    </row>
    <row r="229" spans="1:19" x14ac:dyDescent="0.25">
      <c r="A229" s="116" t="s">
        <v>194</v>
      </c>
      <c r="B229" s="32">
        <v>43859</v>
      </c>
      <c r="C229" s="39">
        <f t="shared" si="15"/>
        <v>0.33333333333333331</v>
      </c>
      <c r="D229" s="33">
        <v>0.29166666666666669</v>
      </c>
      <c r="E229" s="33">
        <v>0.5</v>
      </c>
      <c r="F229" s="39">
        <f t="shared" si="16"/>
        <v>0.54166666666666663</v>
      </c>
      <c r="G229" s="33">
        <v>0.54166666666666663</v>
      </c>
      <c r="H229" s="33">
        <v>0.75</v>
      </c>
      <c r="I229" s="39">
        <f>IFERROR(IF(B229=VLOOKUP(B229,Feriados[],2,0),H229,IF(N229="Sáb",H229,IF(AND(B229&lt;$T$1,H229&lt;=$AA$3),$Z$3,IF(AND(N229="Sex",H229&gt;$AA$3),H229,IF(H229&lt;=$AA$3,$Z$3,IF(H229&lt;=$AA$8,$Z$8,H229)))))),IF(N229="Sáb",H229,IF(AND(B229&lt;$T$1,H229&lt;=$AA$3),$Z$3,IF(AND(N229="Sex",H229&gt;$AA$3),H229,IF(H229&lt;=$AA$3,$Z$3,IF(H229&lt;=$AA$8,$Z$8,H229))))))</f>
        <v>0.75</v>
      </c>
      <c r="J229" s="33">
        <f t="shared" si="17"/>
        <v>0.375</v>
      </c>
      <c r="K229" s="33">
        <f>IFERROR(IF(H229="","",IF(B229=VLOOKUP(B229,Feriados[],2,0),(H229-D229)-(G229-E229),IF(D229&lt;=$Y$4,(I229-D229)-(G229-E229),(I229-C229)-(F229-E229)))),IF(AND(D229&lt;=$Y$4,F229-E229=$AB$1),(I229-D229)-(F229-E229),IF(D229&lt;$Y$4,(I229-D229)-(G229-E229),(I229-C229)-(F229-E229))))</f>
        <v>0.41666666666666669</v>
      </c>
      <c r="L229" s="40">
        <f>IF(B229=_xlfn.XLOOKUP(B229,Feriados[FE Oficial],Feriados[FE Talvez],"",0),"",IF(Q229="Compensado","",IF(AND(N229="Sex",D229&lt;$Y$4),($Z$4-D229)+$AB$1-(F229-E229)+(I229-$Z$3),IF(AND(N229="Sex",I229&gt;$Z$3),($AB$1-(F229-E229))+(I229-$Z$3),IF(AND(N229="Sex",E229&lt;&gt;"",D229&lt;$Y$4),($Z$4-D229)+$AB$1-(F229-E229)+(I229-$Z$3),IF(N229="Sáb",(I229-D229)-(G229-E229)-(S229-R229),IF(AND(B229&lt;$T$1,I229&gt;$Z$3),H229-$Z$3,IF(D229&lt;$Y$4,($Z$4-D229)+($AB$1-(F229-E229))+(I229-$Z$8)+(S229-R229),IF(AND(S229&lt;&gt;"",D229&gt;$Z$4),(S229-R229)-($AB$1-(F229-E229)),IF(AND(S229&lt;&gt;"",D229&lt;$Y$4),(S229-R229)-($AB$1-(F229-E229)+($Z$4-D229)),IF(I229&gt;$Z$8,($AB$1-(F229-E229))+(I229-$Z$8),IF(AND(N229="Sex",(F229-E229)&lt;($AB$1-$W$1)),($AB$1-(F229-E229)),IF(AND(O229&gt;($AB$1-$W$1),D229&gt;$Z$4),"",IF(AND(B229&gt;=$T$1,(F229-E229)&gt;($AB$1-$W$1)),"",IF(AND(D229&gt;=$Y$4,I229=$Z$8,S229=""),($AB$1-(F229-E229)),IF(AND(P229&lt;&gt;"",S229&lt;&gt;""),I229-$Z$8,IF(AND(P229&lt;&gt;"",D229&gt;$Y$4),$AB$1-(F229-E229),"")))))))))))))))))</f>
        <v>4.1666666666666664E-2</v>
      </c>
      <c r="M229" s="107" t="str">
        <f>IFERROR(IF(H229="","",IF(B229=VLOOKUP(B229,Feriados[],2,0),(H229-D229)-(G229-E229),"")),"")</f>
        <v/>
      </c>
      <c r="N229" s="38" t="str">
        <f t="shared" si="18"/>
        <v>Ter</v>
      </c>
      <c r="O229" s="112">
        <f t="shared" si="19"/>
        <v>4.166666666666663E-2</v>
      </c>
      <c r="P229" s="113" t="str">
        <f>IF(B229=_xlfn.XLOOKUP(B229,Feriados[FE Oficial],Feriados[FE Talvez],"",0),"",IF(B229&lt;$T$1,"",IF(Q229="Consulta","",IF(Q229="Compensado","",IF(N229="Sáb","",IF(S229&lt;&gt;"",(S229-R229)-(($AB$1-O229)-(D229-$Z$4)),IF(O229&gt;$AB$1,O229-$AB$1,IF(C229&gt;$Z$4,C229-$Z$4,IF(AND(N229="Sex",G229&lt;&gt;"",H229=""),$Z$3-G229,IF(AND(G229&lt;&gt;"",H229=""),$Z$3-G229,IF(AND(N229="Sex",H229&lt;$Y$3),$Z$3-H229,IF(AND(N229&lt;&gt;"Sex",H229&gt;$AA$8),"",IF(AND(N229="Sex",H229&gt;$Z$8),"",IF(AND(N229&lt;&gt;"Sex",I229&gt;$Z$8),$Z$8-H229,IF(AND(N229&lt;&gt;"Sex",H229&lt;$Y$8),$Z$8-H229,"")))))))))))))))</f>
        <v/>
      </c>
      <c r="Q229" s="33"/>
      <c r="R229" s="33"/>
      <c r="S229" s="33"/>
    </row>
    <row r="230" spans="1:19" x14ac:dyDescent="0.25">
      <c r="A230" s="116" t="s">
        <v>175</v>
      </c>
      <c r="B230" s="32">
        <v>43859</v>
      </c>
      <c r="C230" s="39">
        <f t="shared" si="15"/>
        <v>0.33333333333333331</v>
      </c>
      <c r="D230" s="33">
        <v>0.33124999999999999</v>
      </c>
      <c r="E230" s="33">
        <v>0.5</v>
      </c>
      <c r="F230" s="39">
        <f t="shared" si="16"/>
        <v>0.54166666666666663</v>
      </c>
      <c r="G230" s="33">
        <v>0.54166666666666663</v>
      </c>
      <c r="H230" s="33">
        <v>0.75</v>
      </c>
      <c r="I230" s="39">
        <f>IFERROR(IF(B230=VLOOKUP(B230,Feriados[],2,0),H230,IF(N230="Sáb",H230,IF(AND(B230&lt;$T$1,H230&lt;=$AA$3),$Z$3,IF(AND(N230="Sex",H230&gt;$AA$3),H230,IF(H230&lt;=$AA$3,$Z$3,IF(H230&lt;=$AA$8,$Z$8,H230)))))),IF(N230="Sáb",H230,IF(AND(B230&lt;$T$1,H230&lt;=$AA$3),$Z$3,IF(AND(N230="Sex",H230&gt;$AA$3),H230,IF(H230&lt;=$AA$3,$Z$3,IF(H230&lt;=$AA$8,$Z$8,H230))))))</f>
        <v>0.75</v>
      </c>
      <c r="J230" s="33">
        <f t="shared" si="17"/>
        <v>0.375</v>
      </c>
      <c r="K230" s="33">
        <f>IFERROR(IF(H230="","",IF(B230=VLOOKUP(B230,Feriados[],2,0),(H230-D230)-(G230-E230),IF(D230&lt;=$Y$4,(I230-D230)-(G230-E230),(I230-C230)-(F230-E230)))),IF(AND(D230&lt;=$Y$4,F230-E230=$AB$1),(I230-D230)-(F230-E230),IF(D230&lt;$Y$4,(I230-D230)-(G230-E230),(I230-C230)-(F230-E230))))</f>
        <v>0.37500000000000006</v>
      </c>
      <c r="L230" s="40" t="str">
        <f>IF(B230=_xlfn.XLOOKUP(B230,Feriados[FE Oficial],Feriados[FE Talvez],"",0),"",IF(Q230="Compensado","",IF(AND(N230="Sex",D230&lt;$Y$4),($Z$4-D230)+$AB$1-(F230-E230)+(I230-$Z$3),IF(AND(N230="Sex",I230&gt;$Z$3),($AB$1-(F230-E230))+(I230-$Z$3),IF(AND(N230="Sex",E230&lt;&gt;"",D230&lt;$Y$4),($Z$4-D230)+$AB$1-(F230-E230)+(I230-$Z$3),IF(N230="Sáb",(I230-D230)-(G230-E230)-(S230-R230),IF(AND(B230&lt;$T$1,I230&gt;$Z$3),H230-$Z$3,IF(D230&lt;$Y$4,($Z$4-D230)+($AB$1-(F230-E230))+(I230-$Z$8)+(S230-R230),IF(AND(S230&lt;&gt;"",D230&gt;$Z$4),(S230-R230)-($AB$1-(F230-E230)),IF(AND(S230&lt;&gt;"",D230&lt;$Y$4),(S230-R230)-($AB$1-(F230-E230)+($Z$4-D230)),IF(I230&gt;$Z$8,($AB$1-(F230-E230))+(I230-$Z$8),IF(AND(N230="Sex",(F230-E230)&lt;($AB$1-$W$1)),($AB$1-(F230-E230)),IF(AND(O230&gt;($AB$1-$W$1),D230&gt;$Z$4),"",IF(AND(B230&gt;=$T$1,(F230-E230)&gt;($AB$1-$W$1)),"",IF(AND(D230&gt;=$Y$4,I230=$Z$8,S230=""),($AB$1-(F230-E230)),IF(AND(P230&lt;&gt;"",S230&lt;&gt;""),I230-$Z$8,IF(AND(P230&lt;&gt;"",D230&gt;$Y$4),$AB$1-(F230-E230),"")))))))))))))))))</f>
        <v/>
      </c>
      <c r="M230" s="107" t="str">
        <f>IFERROR(IF(H230="","",IF(B230=VLOOKUP(B230,Feriados[],2,0),(H230-D230)-(G230-E230),"")),"")</f>
        <v/>
      </c>
      <c r="N230" s="38" t="str">
        <f t="shared" si="18"/>
        <v>Ter</v>
      </c>
      <c r="O230" s="112">
        <f t="shared" si="19"/>
        <v>4.166666666666663E-2</v>
      </c>
      <c r="P230" s="113" t="str">
        <f>IF(B230=_xlfn.XLOOKUP(B230,Feriados[FE Oficial],Feriados[FE Talvez],"",0),"",IF(B230&lt;$T$1,"",IF(Q230="Consulta","",IF(Q230="Compensado","",IF(N230="Sáb","",IF(S230&lt;&gt;"",(S230-R230)-(($AB$1-O230)-(D230-$Z$4)),IF(O230&gt;$AB$1,O230-$AB$1,IF(C230&gt;$Z$4,C230-$Z$4,IF(AND(N230="Sex",G230&lt;&gt;"",H230=""),$Z$3-G230,IF(AND(G230&lt;&gt;"",H230=""),$Z$3-G230,IF(AND(N230="Sex",H230&lt;$Y$3),$Z$3-H230,IF(AND(N230&lt;&gt;"Sex",H230&gt;$AA$8),"",IF(AND(N230="Sex",H230&gt;$Z$8),"",IF(AND(N230&lt;&gt;"Sex",I230&gt;$Z$8),$Z$8-H230,IF(AND(N230&lt;&gt;"Sex",H230&lt;$Y$8),$Z$8-H230,"")))))))))))))))</f>
        <v/>
      </c>
      <c r="Q230" s="33"/>
      <c r="R230" s="33"/>
      <c r="S230" s="33"/>
    </row>
    <row r="231" spans="1:19" x14ac:dyDescent="0.25">
      <c r="A231" s="116" t="s">
        <v>191</v>
      </c>
      <c r="B231" s="32">
        <v>43859</v>
      </c>
      <c r="C231" s="39">
        <f t="shared" si="15"/>
        <v>0.33333333333333331</v>
      </c>
      <c r="D231" s="33">
        <v>0.33333333333333331</v>
      </c>
      <c r="E231" s="33">
        <v>0.5</v>
      </c>
      <c r="F231" s="39">
        <f t="shared" si="16"/>
        <v>0.54166666666666663</v>
      </c>
      <c r="G231" s="33">
        <v>0.54166666666666663</v>
      </c>
      <c r="H231" s="33">
        <v>0.75</v>
      </c>
      <c r="I231" s="39">
        <f>IFERROR(IF(B231=VLOOKUP(B231,Feriados[],2,0),H231,IF(N231="Sáb",H231,IF(AND(B231&lt;$T$1,H231&lt;=$AA$3),$Z$3,IF(AND(N231="Sex",H231&gt;$AA$3),H231,IF(H231&lt;=$AA$3,$Z$3,IF(H231&lt;=$AA$8,$Z$8,H231)))))),IF(N231="Sáb",H231,IF(AND(B231&lt;$T$1,H231&lt;=$AA$3),$Z$3,IF(AND(N231="Sex",H231&gt;$AA$3),H231,IF(H231&lt;=$AA$3,$Z$3,IF(H231&lt;=$AA$8,$Z$8,H231))))))</f>
        <v>0.75</v>
      </c>
      <c r="J231" s="33">
        <f t="shared" si="17"/>
        <v>0.37500000000000006</v>
      </c>
      <c r="K231" s="33">
        <f>IFERROR(IF(H231="","",IF(B231=VLOOKUP(B231,Feriados[],2,0),(H231-D231)-(G231-E231),IF(D231&lt;=$Y$4,(I231-D231)-(G231-E231),(I231-C231)-(F231-E231)))),IF(AND(D231&lt;=$Y$4,F231-E231=$AB$1),(I231-D231)-(F231-E231),IF(D231&lt;$Y$4,(I231-D231)-(G231-E231),(I231-C231)-(F231-E231))))</f>
        <v>0.37500000000000006</v>
      </c>
      <c r="L231" s="40" t="str">
        <f>IF(B231=_xlfn.XLOOKUP(B231,Feriados[FE Oficial],Feriados[FE Talvez],"",0),"",IF(Q231="Compensado","",IF(AND(N231="Sex",D231&lt;$Y$4),($Z$4-D231)+$AB$1-(F231-E231)+(I231-$Z$3),IF(AND(N231="Sex",I231&gt;$Z$3),($AB$1-(F231-E231))+(I231-$Z$3),IF(AND(N231="Sex",E231&lt;&gt;"",D231&lt;$Y$4),($Z$4-D231)+$AB$1-(F231-E231)+(I231-$Z$3),IF(N231="Sáb",(I231-D231)-(G231-E231)-(S231-R231),IF(AND(B231&lt;$T$1,I231&gt;$Z$3),H231-$Z$3,IF(D231&lt;$Y$4,($Z$4-D231)+($AB$1-(F231-E231))+(I231-$Z$8)+(S231-R231),IF(AND(S231&lt;&gt;"",D231&gt;$Z$4),(S231-R231)-($AB$1-(F231-E231)),IF(AND(S231&lt;&gt;"",D231&lt;$Y$4),(S231-R231)-($AB$1-(F231-E231)+($Z$4-D231)),IF(I231&gt;$Z$8,($AB$1-(F231-E231))+(I231-$Z$8),IF(AND(N231="Sex",(F231-E231)&lt;($AB$1-$W$1)),($AB$1-(F231-E231)),IF(AND(O231&gt;($AB$1-$W$1),D231&gt;$Z$4),"",IF(AND(B231&gt;=$T$1,(F231-E231)&gt;($AB$1-$W$1)),"",IF(AND(D231&gt;=$Y$4,I231=$Z$8,S231=""),($AB$1-(F231-E231)),IF(AND(P231&lt;&gt;"",S231&lt;&gt;""),I231-$Z$8,IF(AND(P231&lt;&gt;"",D231&gt;$Y$4),$AB$1-(F231-E231),"")))))))))))))))))</f>
        <v/>
      </c>
      <c r="M231" s="107" t="str">
        <f>IFERROR(IF(H231="","",IF(B231=VLOOKUP(B231,Feriados[],2,0),(H231-D231)-(G231-E231),"")),"")</f>
        <v/>
      </c>
      <c r="N231" s="38" t="str">
        <f t="shared" si="18"/>
        <v>Ter</v>
      </c>
      <c r="O231" s="112">
        <f t="shared" si="19"/>
        <v>4.166666666666663E-2</v>
      </c>
      <c r="P231" s="113" t="str">
        <f>IF(B231=_xlfn.XLOOKUP(B231,Feriados[FE Oficial],Feriados[FE Talvez],"",0),"",IF(B231&lt;$T$1,"",IF(Q231="Consulta","",IF(Q231="Compensado","",IF(N231="Sáb","",IF(S231&lt;&gt;"",(S231-R231)-(($AB$1-O231)-(D231-$Z$4)),IF(O231&gt;$AB$1,O231-$AB$1,IF(C231&gt;$Z$4,C231-$Z$4,IF(AND(N231="Sex",G231&lt;&gt;"",H231=""),$Z$3-G231,IF(AND(G231&lt;&gt;"",H231=""),$Z$3-G231,IF(AND(N231="Sex",H231&lt;$Y$3),$Z$3-H231,IF(AND(N231&lt;&gt;"Sex",H231&gt;$AA$8),"",IF(AND(N231="Sex",H231&gt;$Z$8),"",IF(AND(N231&lt;&gt;"Sex",I231&gt;$Z$8),$Z$8-H231,IF(AND(N231&lt;&gt;"Sex",H231&lt;$Y$8),$Z$8-H231,"")))))))))))))))</f>
        <v/>
      </c>
      <c r="Q231" s="33"/>
      <c r="R231" s="33"/>
      <c r="S231" s="33"/>
    </row>
    <row r="232" spans="1:19" x14ac:dyDescent="0.25">
      <c r="A232" s="116" t="s">
        <v>197</v>
      </c>
      <c r="B232" s="32">
        <v>43859</v>
      </c>
      <c r="C232" s="39">
        <f t="shared" si="15"/>
        <v>0.33333333333333331</v>
      </c>
      <c r="D232" s="33">
        <v>0.33333333333333331</v>
      </c>
      <c r="E232" s="33">
        <v>0.5</v>
      </c>
      <c r="F232" s="39">
        <f t="shared" si="16"/>
        <v>0.54166666666666663</v>
      </c>
      <c r="G232" s="33">
        <v>0.54166666666666663</v>
      </c>
      <c r="H232" s="33">
        <v>0.75</v>
      </c>
      <c r="I232" s="39">
        <f>IFERROR(IF(B232=VLOOKUP(B232,Feriados[],2,0),H232,IF(N232="Sáb",H232,IF(AND(B232&lt;$T$1,H232&lt;=$AA$3),$Z$3,IF(AND(N232="Sex",H232&gt;$AA$3),H232,IF(H232&lt;=$AA$3,$Z$3,IF(H232&lt;=$AA$8,$Z$8,H232)))))),IF(N232="Sáb",H232,IF(AND(B232&lt;$T$1,H232&lt;=$AA$3),$Z$3,IF(AND(N232="Sex",H232&gt;$AA$3),H232,IF(H232&lt;=$AA$3,$Z$3,IF(H232&lt;=$AA$8,$Z$8,H232))))))</f>
        <v>0.75</v>
      </c>
      <c r="J232" s="33">
        <f t="shared" si="17"/>
        <v>0.37500000000000006</v>
      </c>
      <c r="K232" s="33">
        <f>IFERROR(IF(H232="","",IF(B232=VLOOKUP(B232,Feriados[],2,0),(H232-D232)-(G232-E232),IF(D232&lt;=$Y$4,(I232-D232)-(G232-E232),(I232-C232)-(F232-E232)))),IF(AND(D232&lt;=$Y$4,F232-E232=$AB$1),(I232-D232)-(F232-E232),IF(D232&lt;$Y$4,(I232-D232)-(G232-E232),(I232-C232)-(F232-E232))))</f>
        <v>0.37500000000000006</v>
      </c>
      <c r="L232" s="40" t="str">
        <f>IF(B232=_xlfn.XLOOKUP(B232,Feriados[FE Oficial],Feriados[FE Talvez],"",0),"",IF(Q232="Compensado","",IF(AND(N232="Sex",D232&lt;$Y$4),($Z$4-D232)+$AB$1-(F232-E232)+(I232-$Z$3),IF(AND(N232="Sex",I232&gt;$Z$3),($AB$1-(F232-E232))+(I232-$Z$3),IF(AND(N232="Sex",E232&lt;&gt;"",D232&lt;$Y$4),($Z$4-D232)+$AB$1-(F232-E232)+(I232-$Z$3),IF(N232="Sáb",(I232-D232)-(G232-E232)-(S232-R232),IF(AND(B232&lt;$T$1,I232&gt;$Z$3),H232-$Z$3,IF(D232&lt;$Y$4,($Z$4-D232)+($AB$1-(F232-E232))+(I232-$Z$8)+(S232-R232),IF(AND(S232&lt;&gt;"",D232&gt;$Z$4),(S232-R232)-($AB$1-(F232-E232)),IF(AND(S232&lt;&gt;"",D232&lt;$Y$4),(S232-R232)-($AB$1-(F232-E232)+($Z$4-D232)),IF(I232&gt;$Z$8,($AB$1-(F232-E232))+(I232-$Z$8),IF(AND(N232="Sex",(F232-E232)&lt;($AB$1-$W$1)),($AB$1-(F232-E232)),IF(AND(O232&gt;($AB$1-$W$1),D232&gt;$Z$4),"",IF(AND(B232&gt;=$T$1,(F232-E232)&gt;($AB$1-$W$1)),"",IF(AND(D232&gt;=$Y$4,I232=$Z$8,S232=""),($AB$1-(F232-E232)),IF(AND(P232&lt;&gt;"",S232&lt;&gt;""),I232-$Z$8,IF(AND(P232&lt;&gt;"",D232&gt;$Y$4),$AB$1-(F232-E232),"")))))))))))))))))</f>
        <v/>
      </c>
      <c r="M232" s="107" t="str">
        <f>IFERROR(IF(H232="","",IF(B232=VLOOKUP(B232,Feriados[],2,0),(H232-D232)-(G232-E232),"")),"")</f>
        <v/>
      </c>
      <c r="N232" s="38" t="str">
        <f t="shared" si="18"/>
        <v>Ter</v>
      </c>
      <c r="O232" s="112">
        <f t="shared" si="19"/>
        <v>4.166666666666663E-2</v>
      </c>
      <c r="P232" s="113" t="str">
        <f>IF(B232=_xlfn.XLOOKUP(B232,Feriados[FE Oficial],Feriados[FE Talvez],"",0),"",IF(B232&lt;$T$1,"",IF(Q232="Consulta","",IF(Q232="Compensado","",IF(N232="Sáb","",IF(S232&lt;&gt;"",(S232-R232)-(($AB$1-O232)-(D232-$Z$4)),IF(O232&gt;$AB$1,O232-$AB$1,IF(C232&gt;$Z$4,C232-$Z$4,IF(AND(N232="Sex",G232&lt;&gt;"",H232=""),$Z$3-G232,IF(AND(G232&lt;&gt;"",H232=""),$Z$3-G232,IF(AND(N232="Sex",H232&lt;$Y$3),$Z$3-H232,IF(AND(N232&lt;&gt;"Sex",H232&gt;$AA$8),"",IF(AND(N232="Sex",H232&gt;$Z$8),"",IF(AND(N232&lt;&gt;"Sex",I232&gt;$Z$8),$Z$8-H232,IF(AND(N232&lt;&gt;"Sex",H232&lt;$Y$8),$Z$8-H232,"")))))))))))))))</f>
        <v/>
      </c>
      <c r="Q232" s="33"/>
      <c r="R232" s="33"/>
      <c r="S232" s="33"/>
    </row>
    <row r="233" spans="1:19" x14ac:dyDescent="0.25">
      <c r="A233" s="116" t="s">
        <v>198</v>
      </c>
      <c r="B233" s="32">
        <v>43859</v>
      </c>
      <c r="C233" s="39">
        <f t="shared" si="15"/>
        <v>0.54166666666666663</v>
      </c>
      <c r="D233" s="33">
        <v>0.54166666666666663</v>
      </c>
      <c r="E233" s="33">
        <v>0.75</v>
      </c>
      <c r="F233" s="39">
        <f t="shared" si="16"/>
        <v>0</v>
      </c>
      <c r="I233" s="39">
        <f>IFERROR(IF(B233=VLOOKUP(B233,Feriados[],2,0),H233,IF(N233="Sáb",H233,IF(AND(B233&lt;$T$1,H233&lt;=$AA$3),$Z$3,IF(AND(N233="Sex",H233&gt;$AA$3),H233,IF(H233&lt;=$AA$3,$Z$3,IF(H233&lt;=$AA$8,$Z$8,H233)))))),IF(N233="Sáb",H233,IF(AND(B233&lt;$T$1,H233&lt;=$AA$3),$Z$3,IF(AND(N233="Sex",H233&gt;$AA$3),H233,IF(H233&lt;=$AA$3,$Z$3,IF(H233&lt;=$AA$8,$Z$8,H233))))))</f>
        <v>0.70833333333333337</v>
      </c>
      <c r="J233" s="33">
        <f t="shared" si="17"/>
        <v>0.20833333333333337</v>
      </c>
      <c r="K233" s="33" t="str">
        <f>IFERROR(IF(H233="","",IF(B233=VLOOKUP(B233,Feriados[],2,0),(H233-D233)-(G233-E233),IF(D233&lt;=$Y$4,(I233-D233)-(G233-E233),(I233-C233)-(F233-E233)))),IF(AND(D233&lt;=$Y$4,F233-E233=$AB$1),(I233-D233)-(F233-E233),IF(D233&lt;$Y$4,(I233-D233)-(G233-E233),(I233-C233)-(F233-E233))))</f>
        <v/>
      </c>
      <c r="L233" s="40" t="str">
        <f>IF(B233=_xlfn.XLOOKUP(B233,Feriados[FE Oficial],Feriados[FE Talvez],"",0),"",IF(Q233="Compensado","",IF(AND(N233="Sex",D233&lt;$Y$4),($Z$4-D233)+$AB$1-(F233-E233)+(I233-$Z$3),IF(AND(N233="Sex",I233&gt;$Z$3),($AB$1-(F233-E233))+(I233-$Z$3),IF(AND(N233="Sex",E233&lt;&gt;"",D233&lt;$Y$4),($Z$4-D233)+$AB$1-(F233-E233)+(I233-$Z$3),IF(N233="Sáb",(I233-D233)-(G233-E233)-(S233-R233),IF(AND(B233&lt;$T$1,I233&gt;$Z$3),H233-$Z$3,IF(D233&lt;$Y$4,($Z$4-D233)+($AB$1-(F233-E233))+(I233-$Z$8)+(S233-R233),IF(AND(S233&lt;&gt;"",D233&gt;$Z$4),(S233-R233)-($AB$1-(F233-E233)),IF(AND(S233&lt;&gt;"",D233&lt;$Y$4),(S233-R233)-($AB$1-(F233-E233)+($Z$4-D233)),IF(I233&gt;$Z$8,($AB$1-(F233-E233))+(I233-$Z$8),IF(AND(N233="Sex",(F233-E233)&lt;($AB$1-$W$1)),($AB$1-(F233-E233)),IF(AND(O233&gt;($AB$1-$W$1),D233&gt;$Z$4),"",IF(AND(B233&gt;=$T$1,(F233-E233)&gt;($AB$1-$W$1)),"",IF(AND(D233&gt;=$Y$4,I233=$Z$8,S233=""),($AB$1-(F233-E233)),IF(AND(P233&lt;&gt;"",S233&lt;&gt;""),I233-$Z$8,IF(AND(P233&lt;&gt;"",D233&gt;$Y$4),$AB$1-(F233-E233),"")))))))))))))))))</f>
        <v/>
      </c>
      <c r="M233" s="107" t="str">
        <f>IFERROR(IF(H233="","",IF(B233=VLOOKUP(B233,Feriados[],2,0),(H233-D233)-(G233-E233),"")),"")</f>
        <v/>
      </c>
      <c r="N233" s="38" t="str">
        <f t="shared" si="18"/>
        <v>Ter</v>
      </c>
      <c r="O233" s="112">
        <f t="shared" si="19"/>
        <v>-0.75</v>
      </c>
      <c r="P233" s="113" t="str">
        <f>IF(B233=_xlfn.XLOOKUP(B233,Feriados[FE Oficial],Feriados[FE Talvez],"",0),"",IF(B233&lt;$T$1,"",IF(Q233="Consulta","",IF(Q233="Compensado","",IF(N233="Sáb","",IF(S233&lt;&gt;"",(S233-R233)-(($AB$1-O233)-(D233-$Z$4)),IF(O233&gt;$AB$1,O233-$AB$1,IF(C233&gt;$Z$4,C233-$Z$4,IF(AND(N233="Sex",G233&lt;&gt;"",H233=""),$Z$3-G233,IF(AND(G233&lt;&gt;"",H233=""),$Z$3-G233,IF(AND(N233="Sex",H233&lt;$Y$3),$Z$3-H233,IF(AND(N233&lt;&gt;"Sex",H233&gt;$AA$8),"",IF(AND(N233="Sex",H233&gt;$Z$8),"",IF(AND(N233&lt;&gt;"Sex",I233&gt;$Z$8),$Z$8-H233,IF(AND(N233&lt;&gt;"Sex",H233&lt;$Y$8),$Z$8-H233,"")))))))))))))))</f>
        <v/>
      </c>
      <c r="Q233" s="33" t="s">
        <v>201</v>
      </c>
      <c r="R233" s="33"/>
      <c r="S233" s="33"/>
    </row>
    <row r="234" spans="1:19" x14ac:dyDescent="0.25">
      <c r="A234" s="116" t="s">
        <v>200</v>
      </c>
      <c r="B234" s="32">
        <v>43859</v>
      </c>
      <c r="C234" s="39">
        <f t="shared" si="15"/>
        <v>0.54166666666666663</v>
      </c>
      <c r="D234" s="33">
        <v>0.54166666666666663</v>
      </c>
      <c r="E234" s="33">
        <v>0.75</v>
      </c>
      <c r="F234" s="39">
        <f t="shared" si="16"/>
        <v>0</v>
      </c>
      <c r="I234" s="39">
        <f>IFERROR(IF(B234=VLOOKUP(B234,Feriados[],2,0),H234,IF(N234="Sáb",H234,IF(AND(B234&lt;$T$1,H234&lt;=$AA$3),$Z$3,IF(AND(N234="Sex",H234&gt;$AA$3),H234,IF(H234&lt;=$AA$3,$Z$3,IF(H234&lt;=$AA$8,$Z$8,H234)))))),IF(N234="Sáb",H234,IF(AND(B234&lt;$T$1,H234&lt;=$AA$3),$Z$3,IF(AND(N234="Sex",H234&gt;$AA$3),H234,IF(H234&lt;=$AA$3,$Z$3,IF(H234&lt;=$AA$8,$Z$8,H234))))))</f>
        <v>0.70833333333333337</v>
      </c>
      <c r="J234" s="33">
        <f t="shared" si="17"/>
        <v>0.20833333333333337</v>
      </c>
      <c r="K234" s="33" t="str">
        <f>IFERROR(IF(H234="","",IF(B234=VLOOKUP(B234,Feriados[],2,0),(H234-D234)-(G234-E234),IF(D234&lt;=$Y$4,(I234-D234)-(G234-E234),(I234-C234)-(F234-E234)))),IF(AND(D234&lt;=$Y$4,F234-E234=$AB$1),(I234-D234)-(F234-E234),IF(D234&lt;$Y$4,(I234-D234)-(G234-E234),(I234-C234)-(F234-E234))))</f>
        <v/>
      </c>
      <c r="L234" s="40" t="str">
        <f>IF(B234=_xlfn.XLOOKUP(B234,Feriados[FE Oficial],Feriados[FE Talvez],"",0),"",IF(Q234="Compensado","",IF(AND(N234="Sex",D234&lt;$Y$4),($Z$4-D234)+$AB$1-(F234-E234)+(I234-$Z$3),IF(AND(N234="Sex",I234&gt;$Z$3),($AB$1-(F234-E234))+(I234-$Z$3),IF(AND(N234="Sex",E234&lt;&gt;"",D234&lt;$Y$4),($Z$4-D234)+$AB$1-(F234-E234)+(I234-$Z$3),IF(N234="Sáb",(I234-D234)-(G234-E234)-(S234-R234),IF(AND(B234&lt;$T$1,I234&gt;$Z$3),H234-$Z$3,IF(D234&lt;$Y$4,($Z$4-D234)+($AB$1-(F234-E234))+(I234-$Z$8)+(S234-R234),IF(AND(S234&lt;&gt;"",D234&gt;$Z$4),(S234-R234)-($AB$1-(F234-E234)),IF(AND(S234&lt;&gt;"",D234&lt;$Y$4),(S234-R234)-($AB$1-(F234-E234)+($Z$4-D234)),IF(I234&gt;$Z$8,($AB$1-(F234-E234))+(I234-$Z$8),IF(AND(N234="Sex",(F234-E234)&lt;($AB$1-$W$1)),($AB$1-(F234-E234)),IF(AND(O234&gt;($AB$1-$W$1),D234&gt;$Z$4),"",IF(AND(B234&gt;=$T$1,(F234-E234)&gt;($AB$1-$W$1)),"",IF(AND(D234&gt;=$Y$4,I234=$Z$8,S234=""),($AB$1-(F234-E234)),IF(AND(P234&lt;&gt;"",S234&lt;&gt;""),I234-$Z$8,IF(AND(P234&lt;&gt;"",D234&gt;$Y$4),$AB$1-(F234-E234),"")))))))))))))))))</f>
        <v/>
      </c>
      <c r="M234" s="107" t="str">
        <f>IFERROR(IF(H234="","",IF(B234=VLOOKUP(B234,Feriados[],2,0),(H234-D234)-(G234-E234),"")),"")</f>
        <v/>
      </c>
      <c r="N234" s="38" t="str">
        <f t="shared" si="18"/>
        <v>Ter</v>
      </c>
      <c r="O234" s="112">
        <f t="shared" si="19"/>
        <v>-0.75</v>
      </c>
      <c r="P234" s="113" t="str">
        <f>IF(B234=_xlfn.XLOOKUP(B234,Feriados[FE Oficial],Feriados[FE Talvez],"",0),"",IF(B234&lt;$T$1,"",IF(Q234="Consulta","",IF(Q234="Compensado","",IF(N234="Sáb","",IF(S234&lt;&gt;"",(S234-R234)-(($AB$1-O234)-(D234-$Z$4)),IF(O234&gt;$AB$1,O234-$AB$1,IF(C234&gt;$Z$4,C234-$Z$4,IF(AND(N234="Sex",G234&lt;&gt;"",H234=""),$Z$3-G234,IF(AND(G234&lt;&gt;"",H234=""),$Z$3-G234,IF(AND(N234="Sex",H234&lt;$Y$3),$Z$3-H234,IF(AND(N234&lt;&gt;"Sex",H234&gt;$AA$8),"",IF(AND(N234="Sex",H234&gt;$Z$8),"",IF(AND(N234&lt;&gt;"Sex",I234&gt;$Z$8),$Z$8-H234,IF(AND(N234&lt;&gt;"Sex",H234&lt;$Y$8),$Z$8-H234,"")))))))))))))))</f>
        <v/>
      </c>
      <c r="Q234" s="33" t="s">
        <v>201</v>
      </c>
      <c r="R234" s="33"/>
      <c r="S234" s="33"/>
    </row>
    <row r="235" spans="1:19" x14ac:dyDescent="0.25">
      <c r="A235" s="116" t="s">
        <v>199</v>
      </c>
      <c r="B235" s="32">
        <v>43859</v>
      </c>
      <c r="C235" s="39">
        <f t="shared" si="15"/>
        <v>0.54166666666666663</v>
      </c>
      <c r="D235" s="33">
        <v>0.54166666666666663</v>
      </c>
      <c r="E235" s="33">
        <v>0.75</v>
      </c>
      <c r="F235" s="39">
        <f t="shared" si="16"/>
        <v>0</v>
      </c>
      <c r="I235" s="39">
        <f>IFERROR(IF(B235=VLOOKUP(B235,Feriados[],2,0),H235,IF(N235="Sáb",H235,IF(AND(B235&lt;$T$1,H235&lt;=$AA$3),$Z$3,IF(AND(N235="Sex",H235&gt;$AA$3),H235,IF(H235&lt;=$AA$3,$Z$3,IF(H235&lt;=$AA$8,$Z$8,H235)))))),IF(N235="Sáb",H235,IF(AND(B235&lt;$T$1,H235&lt;=$AA$3),$Z$3,IF(AND(N235="Sex",H235&gt;$AA$3),H235,IF(H235&lt;=$AA$3,$Z$3,IF(H235&lt;=$AA$8,$Z$8,H235))))))</f>
        <v>0.70833333333333337</v>
      </c>
      <c r="J235" s="33">
        <f t="shared" si="17"/>
        <v>0.20833333333333337</v>
      </c>
      <c r="K235" s="33" t="str">
        <f>IFERROR(IF(H235="","",IF(B235=VLOOKUP(B235,Feriados[],2,0),(H235-D235)-(G235-E235),IF(D235&lt;=$Y$4,(I235-D235)-(G235-E235),(I235-C235)-(F235-E235)))),IF(AND(D235&lt;=$Y$4,F235-E235=$AB$1),(I235-D235)-(F235-E235),IF(D235&lt;$Y$4,(I235-D235)-(G235-E235),(I235-C235)-(F235-E235))))</f>
        <v/>
      </c>
      <c r="L235" s="40" t="str">
        <f>IF(B235=_xlfn.XLOOKUP(B235,Feriados[FE Oficial],Feriados[FE Talvez],"",0),"",IF(Q235="Compensado","",IF(AND(N235="Sex",D235&lt;$Y$4),($Z$4-D235)+$AB$1-(F235-E235)+(I235-$Z$3),IF(AND(N235="Sex",I235&gt;$Z$3),($AB$1-(F235-E235))+(I235-$Z$3),IF(AND(N235="Sex",E235&lt;&gt;"",D235&lt;$Y$4),($Z$4-D235)+$AB$1-(F235-E235)+(I235-$Z$3),IF(N235="Sáb",(I235-D235)-(G235-E235)-(S235-R235),IF(AND(B235&lt;$T$1,I235&gt;$Z$3),H235-$Z$3,IF(D235&lt;$Y$4,($Z$4-D235)+($AB$1-(F235-E235))+(I235-$Z$8)+(S235-R235),IF(AND(S235&lt;&gt;"",D235&gt;$Z$4),(S235-R235)-($AB$1-(F235-E235)),IF(AND(S235&lt;&gt;"",D235&lt;$Y$4),(S235-R235)-($AB$1-(F235-E235)+($Z$4-D235)),IF(I235&gt;$Z$8,($AB$1-(F235-E235))+(I235-$Z$8),IF(AND(N235="Sex",(F235-E235)&lt;($AB$1-$W$1)),($AB$1-(F235-E235)),IF(AND(O235&gt;($AB$1-$W$1),D235&gt;$Z$4),"",IF(AND(B235&gt;=$T$1,(F235-E235)&gt;($AB$1-$W$1)),"",IF(AND(D235&gt;=$Y$4,I235=$Z$8,S235=""),($AB$1-(F235-E235)),IF(AND(P235&lt;&gt;"",S235&lt;&gt;""),I235-$Z$8,IF(AND(P235&lt;&gt;"",D235&gt;$Y$4),$AB$1-(F235-E235),"")))))))))))))))))</f>
        <v/>
      </c>
      <c r="M235" s="107" t="str">
        <f>IFERROR(IF(H235="","",IF(B235=VLOOKUP(B235,Feriados[],2,0),(H235-D235)-(G235-E235),"")),"")</f>
        <v/>
      </c>
      <c r="N235" s="38" t="str">
        <f t="shared" si="18"/>
        <v>Ter</v>
      </c>
      <c r="O235" s="112">
        <f t="shared" si="19"/>
        <v>-0.75</v>
      </c>
      <c r="P235" s="113" t="str">
        <f>IF(B235=_xlfn.XLOOKUP(B235,Feriados[FE Oficial],Feriados[FE Talvez],"",0),"",IF(B235&lt;$T$1,"",IF(Q235="Consulta","",IF(Q235="Compensado","",IF(N235="Sáb","",IF(S235&lt;&gt;"",(S235-R235)-(($AB$1-O235)-(D235-$Z$4)),IF(O235&gt;$AB$1,O235-$AB$1,IF(C235&gt;$Z$4,C235-$Z$4,IF(AND(N235="Sex",G235&lt;&gt;"",H235=""),$Z$3-G235,IF(AND(G235&lt;&gt;"",H235=""),$Z$3-G235,IF(AND(N235="Sex",H235&lt;$Y$3),$Z$3-H235,IF(AND(N235&lt;&gt;"Sex",H235&gt;$AA$8),"",IF(AND(N235="Sex",H235&gt;$Z$8),"",IF(AND(N235&lt;&gt;"Sex",I235&gt;$Z$8),$Z$8-H235,IF(AND(N235&lt;&gt;"Sex",H235&lt;$Y$8),$Z$8-H235,"")))))))))))))))</f>
        <v/>
      </c>
      <c r="Q235" s="33" t="s">
        <v>201</v>
      </c>
      <c r="R235" s="33"/>
      <c r="S235" s="33"/>
    </row>
    <row r="236" spans="1:19" x14ac:dyDescent="0.25">
      <c r="A236" s="116" t="s">
        <v>190</v>
      </c>
      <c r="B236" s="32">
        <v>43860</v>
      </c>
      <c r="C236" s="39">
        <f t="shared" si="15"/>
        <v>0.33333333333333331</v>
      </c>
      <c r="D236" s="33">
        <v>0.32569444444444445</v>
      </c>
      <c r="E236" s="33">
        <v>0.47986111111111113</v>
      </c>
      <c r="F236" s="39">
        <f t="shared" si="16"/>
        <v>0.52152777777777781</v>
      </c>
      <c r="G236" s="33">
        <v>0.51944444444444449</v>
      </c>
      <c r="H236" s="33">
        <v>0.75</v>
      </c>
      <c r="I236" s="39">
        <f>IFERROR(IF(B236=VLOOKUP(B236,Feriados[],2,0),H236,IF(N236="Sáb",H236,IF(AND(B236&lt;$T$1,H236&lt;=$AA$3),$Z$3,IF(AND(N236="Sex",H236&gt;$AA$3),H236,IF(H236&lt;=$AA$3,$Z$3,IF(H236&lt;=$AA$8,$Z$8,H236)))))),IF(N236="Sáb",H236,IF(AND(B236&lt;$T$1,H236&lt;=$AA$3),$Z$3,IF(AND(N236="Sex",H236&gt;$AA$3),H236,IF(H236&lt;=$AA$3,$Z$3,IF(H236&lt;=$AA$8,$Z$8,H236))))))</f>
        <v>0.75</v>
      </c>
      <c r="J236" s="33">
        <f t="shared" si="17"/>
        <v>0.375</v>
      </c>
      <c r="K236" s="33">
        <f>IFERROR(IF(H236="","",IF(B236=VLOOKUP(B236,Feriados[],2,0),(H236-D236)-(G236-E236),IF(D236&lt;=$Y$4,(I236-D236)-(G236-E236),(I236-C236)-(F236-E236)))),IF(AND(D236&lt;=$Y$4,F236-E236=$AB$1),(I236-D236)-(F236-E236),IF(D236&lt;$Y$4,(I236-D236)-(G236-E236),(I236-C236)-(F236-E236))))</f>
        <v>0.38263888888888886</v>
      </c>
      <c r="L236" s="40">
        <f>IF(B236=_xlfn.XLOOKUP(B236,Feriados[FE Oficial],Feriados[FE Talvez],"",0),"",IF(Q236="Compensado","",IF(AND(N236="Sex",D236&lt;$Y$4),($Z$4-D236)+$AB$1-(F236-E236)+(I236-$Z$3),IF(AND(N236="Sex",I236&gt;$Z$3),($AB$1-(F236-E236))+(I236-$Z$3),IF(AND(N236="Sex",E236&lt;&gt;"",D236&lt;$Y$4),($Z$4-D236)+$AB$1-(F236-E236)+(I236-$Z$3),IF(N236="Sáb",(I236-D236)-(G236-E236)-(S236-R236),IF(AND(B236&lt;$T$1,I236&gt;$Z$3),H236-$Z$3,IF(D236&lt;$Y$4,($Z$4-D236)+($AB$1-(F236-E236))+(I236-$Z$8)+(S236-R236),IF(AND(S236&lt;&gt;"",D236&gt;$Z$4),(S236-R236)-($AB$1-(F236-E236)),IF(AND(S236&lt;&gt;"",D236&lt;$Y$4),(S236-R236)-($AB$1-(F236-E236)+($Z$4-D236)),IF(I236&gt;$Z$8,($AB$1-(F236-E236))+(I236-$Z$8),IF(AND(N236="Sex",(F236-E236)&lt;($AB$1-$W$1)),($AB$1-(F236-E236)),IF(AND(O236&gt;($AB$1-$W$1),D236&gt;$Z$4),"",IF(AND(B236&gt;=$T$1,(F236-E236)&gt;($AB$1-$W$1)),"",IF(AND(D236&gt;=$Y$4,I236=$Z$8,S236=""),($AB$1-(F236-E236)),IF(AND(P236&lt;&gt;"",S236&lt;&gt;""),I236-$Z$8,IF(AND(P236&lt;&gt;"",D236&gt;$Y$4),$AB$1-(F236-E236),"")))))))))))))))))</f>
        <v>7.6388888888888409E-3</v>
      </c>
      <c r="M236" s="107" t="str">
        <f>IFERROR(IF(H236="","",IF(B236=VLOOKUP(B236,Feriados[],2,0),(H236-D236)-(G236-E236),"")),"")</f>
        <v/>
      </c>
      <c r="N236" s="38" t="str">
        <f t="shared" si="18"/>
        <v>Qua</v>
      </c>
      <c r="O236" s="112">
        <f t="shared" si="19"/>
        <v>3.9583333333333359E-2</v>
      </c>
      <c r="P236" s="113" t="str">
        <f>IF(B236=_xlfn.XLOOKUP(B236,Feriados[FE Oficial],Feriados[FE Talvez],"",0),"",IF(B236&lt;$T$1,"",IF(Q236="Consulta","",IF(Q236="Compensado","",IF(N236="Sáb","",IF(S236&lt;&gt;"",(S236-R236)-(($AB$1-O236)-(D236-$Z$4)),IF(O236&gt;$AB$1,O236-$AB$1,IF(C236&gt;$Z$4,C236-$Z$4,IF(AND(N236="Sex",G236&lt;&gt;"",H236=""),$Z$3-G236,IF(AND(G236&lt;&gt;"",H236=""),$Z$3-G236,IF(AND(N236="Sex",H236&lt;$Y$3),$Z$3-H236,IF(AND(N236&lt;&gt;"Sex",H236&gt;$AA$8),"",IF(AND(N236="Sex",H236&gt;$Z$8),"",IF(AND(N236&lt;&gt;"Sex",I236&gt;$Z$8),$Z$8-H236,IF(AND(N236&lt;&gt;"Sex",H236&lt;$Y$8),$Z$8-H236,"")))))))))))))))</f>
        <v/>
      </c>
      <c r="Q236" s="33"/>
      <c r="R236" s="33"/>
      <c r="S236" s="33"/>
    </row>
    <row r="237" spans="1:19" x14ac:dyDescent="0.25">
      <c r="A237" s="116" t="s">
        <v>194</v>
      </c>
      <c r="B237" s="32">
        <v>43860</v>
      </c>
      <c r="C237" s="39">
        <f t="shared" si="15"/>
        <v>0.33333333333333331</v>
      </c>
      <c r="D237" s="33">
        <v>0.29166666666666669</v>
      </c>
      <c r="E237" s="33">
        <v>0.5</v>
      </c>
      <c r="F237" s="39">
        <f t="shared" si="16"/>
        <v>0.54166666666666663</v>
      </c>
      <c r="G237" s="33">
        <v>0.54166666666666663</v>
      </c>
      <c r="H237" s="33">
        <v>0.75</v>
      </c>
      <c r="I237" s="39">
        <f>IFERROR(IF(B237=VLOOKUP(B237,Feriados[],2,0),H237,IF(N237="Sáb",H237,IF(AND(B237&lt;$T$1,H237&lt;=$AA$3),$Z$3,IF(AND(N237="Sex",H237&gt;$AA$3),H237,IF(H237&lt;=$AA$3,$Z$3,IF(H237&lt;=$AA$8,$Z$8,H237)))))),IF(N237="Sáb",H237,IF(AND(B237&lt;$T$1,H237&lt;=$AA$3),$Z$3,IF(AND(N237="Sex",H237&gt;$AA$3),H237,IF(H237&lt;=$AA$3,$Z$3,IF(H237&lt;=$AA$8,$Z$8,H237))))))</f>
        <v>0.75</v>
      </c>
      <c r="J237" s="33">
        <f t="shared" si="17"/>
        <v>0.375</v>
      </c>
      <c r="K237" s="33">
        <f>IFERROR(IF(H237="","",IF(B237=VLOOKUP(B237,Feriados[],2,0),(H237-D237)-(G237-E237),IF(D237&lt;=$Y$4,(I237-D237)-(G237-E237),(I237-C237)-(F237-E237)))),IF(AND(D237&lt;=$Y$4,F237-E237=$AB$1),(I237-D237)-(F237-E237),IF(D237&lt;$Y$4,(I237-D237)-(G237-E237),(I237-C237)-(F237-E237))))</f>
        <v>0.41666666666666669</v>
      </c>
      <c r="L237" s="40">
        <f>IF(B237=_xlfn.XLOOKUP(B237,Feriados[FE Oficial],Feriados[FE Talvez],"",0),"",IF(Q237="Compensado","",IF(AND(N237="Sex",D237&lt;$Y$4),($Z$4-D237)+$AB$1-(F237-E237)+(I237-$Z$3),IF(AND(N237="Sex",I237&gt;$Z$3),($AB$1-(F237-E237))+(I237-$Z$3),IF(AND(N237="Sex",E237&lt;&gt;"",D237&lt;$Y$4),($Z$4-D237)+$AB$1-(F237-E237)+(I237-$Z$3),IF(N237="Sáb",(I237-D237)-(G237-E237)-(S237-R237),IF(AND(B237&lt;$T$1,I237&gt;$Z$3),H237-$Z$3,IF(D237&lt;$Y$4,($Z$4-D237)+($AB$1-(F237-E237))+(I237-$Z$8)+(S237-R237),IF(AND(S237&lt;&gt;"",D237&gt;$Z$4),(S237-R237)-($AB$1-(F237-E237)),IF(AND(S237&lt;&gt;"",D237&lt;$Y$4),(S237-R237)-($AB$1-(F237-E237)+($Z$4-D237)),IF(I237&gt;$Z$8,($AB$1-(F237-E237))+(I237-$Z$8),IF(AND(N237="Sex",(F237-E237)&lt;($AB$1-$W$1)),($AB$1-(F237-E237)),IF(AND(O237&gt;($AB$1-$W$1),D237&gt;$Z$4),"",IF(AND(B237&gt;=$T$1,(F237-E237)&gt;($AB$1-$W$1)),"",IF(AND(D237&gt;=$Y$4,I237=$Z$8,S237=""),($AB$1-(F237-E237)),IF(AND(P237&lt;&gt;"",S237&lt;&gt;""),I237-$Z$8,IF(AND(P237&lt;&gt;"",D237&gt;$Y$4),$AB$1-(F237-E237),"")))))))))))))))))</f>
        <v>4.1666666666666664E-2</v>
      </c>
      <c r="M237" s="107" t="str">
        <f>IFERROR(IF(H237="","",IF(B237=VLOOKUP(B237,Feriados[],2,0),(H237-D237)-(G237-E237),"")),"")</f>
        <v/>
      </c>
      <c r="N237" s="38" t="str">
        <f t="shared" si="18"/>
        <v>Qua</v>
      </c>
      <c r="O237" s="112">
        <f t="shared" si="19"/>
        <v>4.166666666666663E-2</v>
      </c>
      <c r="P237" s="113" t="str">
        <f>IF(B237=_xlfn.XLOOKUP(B237,Feriados[FE Oficial],Feriados[FE Talvez],"",0),"",IF(B237&lt;$T$1,"",IF(Q237="Consulta","",IF(Q237="Compensado","",IF(N237="Sáb","",IF(S237&lt;&gt;"",(S237-R237)-(($AB$1-O237)-(D237-$Z$4)),IF(O237&gt;$AB$1,O237-$AB$1,IF(C237&gt;$Z$4,C237-$Z$4,IF(AND(N237="Sex",G237&lt;&gt;"",H237=""),$Z$3-G237,IF(AND(G237&lt;&gt;"",H237=""),$Z$3-G237,IF(AND(N237="Sex",H237&lt;$Y$3),$Z$3-H237,IF(AND(N237&lt;&gt;"Sex",H237&gt;$AA$8),"",IF(AND(N237="Sex",H237&gt;$Z$8),"",IF(AND(N237&lt;&gt;"Sex",I237&gt;$Z$8),$Z$8-H237,IF(AND(N237&lt;&gt;"Sex",H237&lt;$Y$8),$Z$8-H237,"")))))))))))))))</f>
        <v/>
      </c>
      <c r="Q237" s="33"/>
      <c r="R237" s="33"/>
      <c r="S237" s="33"/>
    </row>
    <row r="238" spans="1:19" x14ac:dyDescent="0.25">
      <c r="A238" s="116" t="s">
        <v>175</v>
      </c>
      <c r="B238" s="32">
        <v>43860</v>
      </c>
      <c r="C238" s="39">
        <f t="shared" si="15"/>
        <v>0.33333333333333331</v>
      </c>
      <c r="D238" s="33">
        <v>0.32569444444444445</v>
      </c>
      <c r="E238" s="33">
        <v>0.5</v>
      </c>
      <c r="F238" s="39">
        <f t="shared" si="16"/>
        <v>0.54166666666666663</v>
      </c>
      <c r="G238" s="33">
        <v>0.54166666666666663</v>
      </c>
      <c r="H238" s="33">
        <v>0.75</v>
      </c>
      <c r="I238" s="39">
        <f>IFERROR(IF(B238=VLOOKUP(B238,Feriados[],2,0),H238,IF(N238="Sáb",H238,IF(AND(B238&lt;$T$1,H238&lt;=$AA$3),$Z$3,IF(AND(N238="Sex",H238&gt;$AA$3),H238,IF(H238&lt;=$AA$3,$Z$3,IF(H238&lt;=$AA$8,$Z$8,H238)))))),IF(N238="Sáb",H238,IF(AND(B238&lt;$T$1,H238&lt;=$AA$3),$Z$3,IF(AND(N238="Sex",H238&gt;$AA$3),H238,IF(H238&lt;=$AA$3,$Z$3,IF(H238&lt;=$AA$8,$Z$8,H238))))))</f>
        <v>0.75</v>
      </c>
      <c r="J238" s="33">
        <f t="shared" si="17"/>
        <v>0.375</v>
      </c>
      <c r="K238" s="33">
        <f>IFERROR(IF(H238="","",IF(B238=VLOOKUP(B238,Feriados[],2,0),(H238-D238)-(G238-E238),IF(D238&lt;=$Y$4,(I238-D238)-(G238-E238),(I238-C238)-(F238-E238)))),IF(AND(D238&lt;=$Y$4,F238-E238=$AB$1),(I238-D238)-(F238-E238),IF(D238&lt;$Y$4,(I238-D238)-(G238-E238),(I238-C238)-(F238-E238))))</f>
        <v>0.38263888888888892</v>
      </c>
      <c r="L238" s="40">
        <f>IF(B238=_xlfn.XLOOKUP(B238,Feriados[FE Oficial],Feriados[FE Talvez],"",0),"",IF(Q238="Compensado","",IF(AND(N238="Sex",D238&lt;$Y$4),($Z$4-D238)+$AB$1-(F238-E238)+(I238-$Z$3),IF(AND(N238="Sex",I238&gt;$Z$3),($AB$1-(F238-E238))+(I238-$Z$3),IF(AND(N238="Sex",E238&lt;&gt;"",D238&lt;$Y$4),($Z$4-D238)+$AB$1-(F238-E238)+(I238-$Z$3),IF(N238="Sáb",(I238-D238)-(G238-E238)-(S238-R238),IF(AND(B238&lt;$T$1,I238&gt;$Z$3),H238-$Z$3,IF(D238&lt;$Y$4,($Z$4-D238)+($AB$1-(F238-E238))+(I238-$Z$8)+(S238-R238),IF(AND(S238&lt;&gt;"",D238&gt;$Z$4),(S238-R238)-($AB$1-(F238-E238)),IF(AND(S238&lt;&gt;"",D238&lt;$Y$4),(S238-R238)-($AB$1-(F238-E238)+($Z$4-D238)),IF(I238&gt;$Z$8,($AB$1-(F238-E238))+(I238-$Z$8),IF(AND(N238="Sex",(F238-E238)&lt;($AB$1-$W$1)),($AB$1-(F238-E238)),IF(AND(O238&gt;($AB$1-$W$1),D238&gt;$Z$4),"",IF(AND(B238&gt;=$T$1,(F238-E238)&gt;($AB$1-$W$1)),"",IF(AND(D238&gt;=$Y$4,I238=$Z$8,S238=""),($AB$1-(F238-E238)),IF(AND(P238&lt;&gt;"",S238&lt;&gt;""),I238-$Z$8,IF(AND(P238&lt;&gt;"",D238&gt;$Y$4),$AB$1-(F238-E238),"")))))))))))))))))</f>
        <v>7.6388888888888964E-3</v>
      </c>
      <c r="M238" s="107" t="str">
        <f>IFERROR(IF(H238="","",IF(B238=VLOOKUP(B238,Feriados[],2,0),(H238-D238)-(G238-E238),"")),"")</f>
        <v/>
      </c>
      <c r="N238" s="38" t="str">
        <f t="shared" si="18"/>
        <v>Qua</v>
      </c>
      <c r="O238" s="112">
        <f t="shared" si="19"/>
        <v>4.166666666666663E-2</v>
      </c>
      <c r="P238" s="113" t="str">
        <f>IF(B238=_xlfn.XLOOKUP(B238,Feriados[FE Oficial],Feriados[FE Talvez],"",0),"",IF(B238&lt;$T$1,"",IF(Q238="Consulta","",IF(Q238="Compensado","",IF(N238="Sáb","",IF(S238&lt;&gt;"",(S238-R238)-(($AB$1-O238)-(D238-$Z$4)),IF(O238&gt;$AB$1,O238-$AB$1,IF(C238&gt;$Z$4,C238-$Z$4,IF(AND(N238="Sex",G238&lt;&gt;"",H238=""),$Z$3-G238,IF(AND(G238&lt;&gt;"",H238=""),$Z$3-G238,IF(AND(N238="Sex",H238&lt;$Y$3),$Z$3-H238,IF(AND(N238&lt;&gt;"Sex",H238&gt;$AA$8),"",IF(AND(N238="Sex",H238&gt;$Z$8),"",IF(AND(N238&lt;&gt;"Sex",I238&gt;$Z$8),$Z$8-H238,IF(AND(N238&lt;&gt;"Sex",H238&lt;$Y$8),$Z$8-H238,"")))))))))))))))</f>
        <v/>
      </c>
      <c r="Q238" s="33"/>
      <c r="R238" s="33"/>
      <c r="S238" s="33"/>
    </row>
    <row r="239" spans="1:19" x14ac:dyDescent="0.25">
      <c r="A239" s="116" t="s">
        <v>191</v>
      </c>
      <c r="B239" s="32">
        <v>43860</v>
      </c>
      <c r="C239" s="39">
        <f t="shared" si="15"/>
        <v>0.33333333333333331</v>
      </c>
      <c r="D239" s="33">
        <v>0.32569444444444445</v>
      </c>
      <c r="E239" s="33">
        <v>0.5</v>
      </c>
      <c r="F239" s="39">
        <f t="shared" si="16"/>
        <v>0.54166666666666663</v>
      </c>
      <c r="G239" s="33">
        <v>0.54166666666666663</v>
      </c>
      <c r="H239" s="33">
        <v>0.75</v>
      </c>
      <c r="I239" s="39">
        <f>IFERROR(IF(B239=VLOOKUP(B239,Feriados[],2,0),H239,IF(N239="Sáb",H239,IF(AND(B239&lt;$T$1,H239&lt;=$AA$3),$Z$3,IF(AND(N239="Sex",H239&gt;$AA$3),H239,IF(H239&lt;=$AA$3,$Z$3,IF(H239&lt;=$AA$8,$Z$8,H239)))))),IF(N239="Sáb",H239,IF(AND(B239&lt;$T$1,H239&lt;=$AA$3),$Z$3,IF(AND(N239="Sex",H239&gt;$AA$3),H239,IF(H239&lt;=$AA$3,$Z$3,IF(H239&lt;=$AA$8,$Z$8,H239))))))</f>
        <v>0.75</v>
      </c>
      <c r="J239" s="33">
        <f t="shared" si="17"/>
        <v>0.375</v>
      </c>
      <c r="K239" s="33">
        <f>IFERROR(IF(H239="","",IF(B239=VLOOKUP(B239,Feriados[],2,0),(H239-D239)-(G239-E239),IF(D239&lt;=$Y$4,(I239-D239)-(G239-E239),(I239-C239)-(F239-E239)))),IF(AND(D239&lt;=$Y$4,F239-E239=$AB$1),(I239-D239)-(F239-E239),IF(D239&lt;$Y$4,(I239-D239)-(G239-E239),(I239-C239)-(F239-E239))))</f>
        <v>0.38263888888888892</v>
      </c>
      <c r="L239" s="40">
        <f>IF(B239=_xlfn.XLOOKUP(B239,Feriados[FE Oficial],Feriados[FE Talvez],"",0),"",IF(Q239="Compensado","",IF(AND(N239="Sex",D239&lt;$Y$4),($Z$4-D239)+$AB$1-(F239-E239)+(I239-$Z$3),IF(AND(N239="Sex",I239&gt;$Z$3),($AB$1-(F239-E239))+(I239-$Z$3),IF(AND(N239="Sex",E239&lt;&gt;"",D239&lt;$Y$4),($Z$4-D239)+$AB$1-(F239-E239)+(I239-$Z$3),IF(N239="Sáb",(I239-D239)-(G239-E239)-(S239-R239),IF(AND(B239&lt;$T$1,I239&gt;$Z$3),H239-$Z$3,IF(D239&lt;$Y$4,($Z$4-D239)+($AB$1-(F239-E239))+(I239-$Z$8)+(S239-R239),IF(AND(S239&lt;&gt;"",D239&gt;$Z$4),(S239-R239)-($AB$1-(F239-E239)),IF(AND(S239&lt;&gt;"",D239&lt;$Y$4),(S239-R239)-($AB$1-(F239-E239)+($Z$4-D239)),IF(I239&gt;$Z$8,($AB$1-(F239-E239))+(I239-$Z$8),IF(AND(N239="Sex",(F239-E239)&lt;($AB$1-$W$1)),($AB$1-(F239-E239)),IF(AND(O239&gt;($AB$1-$W$1),D239&gt;$Z$4),"",IF(AND(B239&gt;=$T$1,(F239-E239)&gt;($AB$1-$W$1)),"",IF(AND(D239&gt;=$Y$4,I239=$Z$8,S239=""),($AB$1-(F239-E239)),IF(AND(P239&lt;&gt;"",S239&lt;&gt;""),I239-$Z$8,IF(AND(P239&lt;&gt;"",D239&gt;$Y$4),$AB$1-(F239-E239),"")))))))))))))))))</f>
        <v>7.6388888888888964E-3</v>
      </c>
      <c r="M239" s="107" t="str">
        <f>IFERROR(IF(H239="","",IF(B239=VLOOKUP(B239,Feriados[],2,0),(H239-D239)-(G239-E239),"")),"")</f>
        <v/>
      </c>
      <c r="N239" s="38" t="str">
        <f t="shared" si="18"/>
        <v>Qua</v>
      </c>
      <c r="O239" s="112">
        <f t="shared" si="19"/>
        <v>4.166666666666663E-2</v>
      </c>
      <c r="P239" s="113" t="str">
        <f>IF(B239=_xlfn.XLOOKUP(B239,Feriados[FE Oficial],Feriados[FE Talvez],"",0),"",IF(B239&lt;$T$1,"",IF(Q239="Consulta","",IF(Q239="Compensado","",IF(N239="Sáb","",IF(S239&lt;&gt;"",(S239-R239)-(($AB$1-O239)-(D239-$Z$4)),IF(O239&gt;$AB$1,O239-$AB$1,IF(C239&gt;$Z$4,C239-$Z$4,IF(AND(N239="Sex",G239&lt;&gt;"",H239=""),$Z$3-G239,IF(AND(G239&lt;&gt;"",H239=""),$Z$3-G239,IF(AND(N239="Sex",H239&lt;$Y$3),$Z$3-H239,IF(AND(N239&lt;&gt;"Sex",H239&gt;$AA$8),"",IF(AND(N239="Sex",H239&gt;$Z$8),"",IF(AND(N239&lt;&gt;"Sex",I239&gt;$Z$8),$Z$8-H239,IF(AND(N239&lt;&gt;"Sex",H239&lt;$Y$8),$Z$8-H239,"")))))))))))))))</f>
        <v/>
      </c>
      <c r="Q239" s="33"/>
      <c r="R239" s="33"/>
      <c r="S239" s="33"/>
    </row>
    <row r="240" spans="1:19" x14ac:dyDescent="0.25">
      <c r="A240" s="116" t="s">
        <v>197</v>
      </c>
      <c r="B240" s="32">
        <v>43860</v>
      </c>
      <c r="C240" s="39">
        <f t="shared" si="15"/>
        <v>0.33333333333333331</v>
      </c>
      <c r="D240" s="33">
        <v>0.32569444444444445</v>
      </c>
      <c r="E240" s="33">
        <v>0.5</v>
      </c>
      <c r="F240" s="39">
        <f t="shared" si="16"/>
        <v>0.54166666666666663</v>
      </c>
      <c r="G240" s="33">
        <v>0.54166666666666663</v>
      </c>
      <c r="H240" s="33">
        <v>0.75</v>
      </c>
      <c r="I240" s="39">
        <f>IFERROR(IF(B240=VLOOKUP(B240,Feriados[],2,0),H240,IF(N240="Sáb",H240,IF(AND(B240&lt;$T$1,H240&lt;=$AA$3),$Z$3,IF(AND(N240="Sex",H240&gt;$AA$3),H240,IF(H240&lt;=$AA$3,$Z$3,IF(H240&lt;=$AA$8,$Z$8,H240)))))),IF(N240="Sáb",H240,IF(AND(B240&lt;$T$1,H240&lt;=$AA$3),$Z$3,IF(AND(N240="Sex",H240&gt;$AA$3),H240,IF(H240&lt;=$AA$3,$Z$3,IF(H240&lt;=$AA$8,$Z$8,H240))))))</f>
        <v>0.75</v>
      </c>
      <c r="J240" s="33">
        <f t="shared" si="17"/>
        <v>0.375</v>
      </c>
      <c r="K240" s="33">
        <f>IFERROR(IF(H240="","",IF(B240=VLOOKUP(B240,Feriados[],2,0),(H240-D240)-(G240-E240),IF(D240&lt;=$Y$4,(I240-D240)-(G240-E240),(I240-C240)-(F240-E240)))),IF(AND(D240&lt;=$Y$4,F240-E240=$AB$1),(I240-D240)-(F240-E240),IF(D240&lt;$Y$4,(I240-D240)-(G240-E240),(I240-C240)-(F240-E240))))</f>
        <v>0.38263888888888892</v>
      </c>
      <c r="L240" s="40">
        <f>IF(B240=_xlfn.XLOOKUP(B240,Feriados[FE Oficial],Feriados[FE Talvez],"",0),"",IF(Q240="Compensado","",IF(AND(N240="Sex",D240&lt;$Y$4),($Z$4-D240)+$AB$1-(F240-E240)+(I240-$Z$3),IF(AND(N240="Sex",I240&gt;$Z$3),($AB$1-(F240-E240))+(I240-$Z$3),IF(AND(N240="Sex",E240&lt;&gt;"",D240&lt;$Y$4),($Z$4-D240)+$AB$1-(F240-E240)+(I240-$Z$3),IF(N240="Sáb",(I240-D240)-(G240-E240)-(S240-R240),IF(AND(B240&lt;$T$1,I240&gt;$Z$3),H240-$Z$3,IF(D240&lt;$Y$4,($Z$4-D240)+($AB$1-(F240-E240))+(I240-$Z$8)+(S240-R240),IF(AND(S240&lt;&gt;"",D240&gt;$Z$4),(S240-R240)-($AB$1-(F240-E240)),IF(AND(S240&lt;&gt;"",D240&lt;$Y$4),(S240-R240)-($AB$1-(F240-E240)+($Z$4-D240)),IF(I240&gt;$Z$8,($AB$1-(F240-E240))+(I240-$Z$8),IF(AND(N240="Sex",(F240-E240)&lt;($AB$1-$W$1)),($AB$1-(F240-E240)),IF(AND(O240&gt;($AB$1-$W$1),D240&gt;$Z$4),"",IF(AND(B240&gt;=$T$1,(F240-E240)&gt;($AB$1-$W$1)),"",IF(AND(D240&gt;=$Y$4,I240=$Z$8,S240=""),($AB$1-(F240-E240)),IF(AND(P240&lt;&gt;"",S240&lt;&gt;""),I240-$Z$8,IF(AND(P240&lt;&gt;"",D240&gt;$Y$4),$AB$1-(F240-E240),"")))))))))))))))))</f>
        <v>7.6388888888888964E-3</v>
      </c>
      <c r="M240" s="107" t="str">
        <f>IFERROR(IF(H240="","",IF(B240=VLOOKUP(B240,Feriados[],2,0),(H240-D240)-(G240-E240),"")),"")</f>
        <v/>
      </c>
      <c r="N240" s="38" t="str">
        <f t="shared" si="18"/>
        <v>Qua</v>
      </c>
      <c r="O240" s="112">
        <f t="shared" si="19"/>
        <v>4.166666666666663E-2</v>
      </c>
      <c r="P240" s="113" t="str">
        <f>IF(B240=_xlfn.XLOOKUP(B240,Feriados[FE Oficial],Feriados[FE Talvez],"",0),"",IF(B240&lt;$T$1,"",IF(Q240="Consulta","",IF(Q240="Compensado","",IF(N240="Sáb","",IF(S240&lt;&gt;"",(S240-R240)-(($AB$1-O240)-(D240-$Z$4)),IF(O240&gt;$AB$1,O240-$AB$1,IF(C240&gt;$Z$4,C240-$Z$4,IF(AND(N240="Sex",G240&lt;&gt;"",H240=""),$Z$3-G240,IF(AND(G240&lt;&gt;"",H240=""),$Z$3-G240,IF(AND(N240="Sex",H240&lt;$Y$3),$Z$3-H240,IF(AND(N240&lt;&gt;"Sex",H240&gt;$AA$8),"",IF(AND(N240="Sex",H240&gt;$Z$8),"",IF(AND(N240&lt;&gt;"Sex",I240&gt;$Z$8),$Z$8-H240,IF(AND(N240&lt;&gt;"Sex",H240&lt;$Y$8),$Z$8-H240,"")))))))))))))))</f>
        <v/>
      </c>
      <c r="Q240" s="33"/>
      <c r="R240" s="33"/>
      <c r="S240" s="33"/>
    </row>
    <row r="241" spans="1:19" x14ac:dyDescent="0.25">
      <c r="A241" s="116" t="s">
        <v>198</v>
      </c>
      <c r="B241" s="32">
        <v>43860</v>
      </c>
      <c r="C241" s="39">
        <f t="shared" si="15"/>
        <v>0.33333333333333331</v>
      </c>
      <c r="D241" s="33">
        <v>0.32569444444444445</v>
      </c>
      <c r="E241" s="33">
        <v>0.5</v>
      </c>
      <c r="F241" s="39">
        <f t="shared" si="16"/>
        <v>0.54166666666666663</v>
      </c>
      <c r="G241" s="33">
        <v>0.54166666666666663</v>
      </c>
      <c r="H241" s="33">
        <v>0.75</v>
      </c>
      <c r="I241" s="39">
        <f>IFERROR(IF(B241=VLOOKUP(B241,Feriados[],2,0),H241,IF(N241="Sáb",H241,IF(AND(B241&lt;$T$1,H241&lt;=$AA$3),$Z$3,IF(AND(N241="Sex",H241&gt;$AA$3),H241,IF(H241&lt;=$AA$3,$Z$3,IF(H241&lt;=$AA$8,$Z$8,H241)))))),IF(N241="Sáb",H241,IF(AND(B241&lt;$T$1,H241&lt;=$AA$3),$Z$3,IF(AND(N241="Sex",H241&gt;$AA$3),H241,IF(H241&lt;=$AA$3,$Z$3,IF(H241&lt;=$AA$8,$Z$8,H241))))))</f>
        <v>0.75</v>
      </c>
      <c r="J241" s="33">
        <f t="shared" si="17"/>
        <v>0.375</v>
      </c>
      <c r="K241" s="33">
        <f>IFERROR(IF(H241="","",IF(B241=VLOOKUP(B241,Feriados[],2,0),(H241-D241)-(G241-E241),IF(D241&lt;=$Y$4,(I241-D241)-(G241-E241),(I241-C241)-(F241-E241)))),IF(AND(D241&lt;=$Y$4,F241-E241=$AB$1),(I241-D241)-(F241-E241),IF(D241&lt;$Y$4,(I241-D241)-(G241-E241),(I241-C241)-(F241-E241))))</f>
        <v>0.38263888888888892</v>
      </c>
      <c r="L241" s="40">
        <f>IF(B241=_xlfn.XLOOKUP(B241,Feriados[FE Oficial],Feriados[FE Talvez],"",0),"",IF(Q241="Compensado","",IF(AND(N241="Sex",D241&lt;$Y$4),($Z$4-D241)+$AB$1-(F241-E241)+(I241-$Z$3),IF(AND(N241="Sex",I241&gt;$Z$3),($AB$1-(F241-E241))+(I241-$Z$3),IF(AND(N241="Sex",E241&lt;&gt;"",D241&lt;$Y$4),($Z$4-D241)+$AB$1-(F241-E241)+(I241-$Z$3),IF(N241="Sáb",(I241-D241)-(G241-E241)-(S241-R241),IF(AND(B241&lt;$T$1,I241&gt;$Z$3),H241-$Z$3,IF(D241&lt;$Y$4,($Z$4-D241)+($AB$1-(F241-E241))+(I241-$Z$8)+(S241-R241),IF(AND(S241&lt;&gt;"",D241&gt;$Z$4),(S241-R241)-($AB$1-(F241-E241)),IF(AND(S241&lt;&gt;"",D241&lt;$Y$4),(S241-R241)-($AB$1-(F241-E241)+($Z$4-D241)),IF(I241&gt;$Z$8,($AB$1-(F241-E241))+(I241-$Z$8),IF(AND(N241="Sex",(F241-E241)&lt;($AB$1-$W$1)),($AB$1-(F241-E241)),IF(AND(O241&gt;($AB$1-$W$1),D241&gt;$Z$4),"",IF(AND(B241&gt;=$T$1,(F241-E241)&gt;($AB$1-$W$1)),"",IF(AND(D241&gt;=$Y$4,I241=$Z$8,S241=""),($AB$1-(F241-E241)),IF(AND(P241&lt;&gt;"",S241&lt;&gt;""),I241-$Z$8,IF(AND(P241&lt;&gt;"",D241&gt;$Y$4),$AB$1-(F241-E241),"")))))))))))))))))</f>
        <v>7.6388888888888964E-3</v>
      </c>
      <c r="M241" s="107" t="str">
        <f>IFERROR(IF(H241="","",IF(B241=VLOOKUP(B241,Feriados[],2,0),(H241-D241)-(G241-E241),"")),"")</f>
        <v/>
      </c>
      <c r="N241" s="38" t="str">
        <f t="shared" si="18"/>
        <v>Qua</v>
      </c>
      <c r="O241" s="112">
        <f t="shared" si="19"/>
        <v>4.166666666666663E-2</v>
      </c>
      <c r="P241" s="113" t="str">
        <f>IF(B241=_xlfn.XLOOKUP(B241,Feriados[FE Oficial],Feriados[FE Talvez],"",0),"",IF(B241&lt;$T$1,"",IF(Q241="Consulta","",IF(Q241="Compensado","",IF(N241="Sáb","",IF(S241&lt;&gt;"",(S241-R241)-(($AB$1-O241)-(D241-$Z$4)),IF(O241&gt;$AB$1,O241-$AB$1,IF(C241&gt;$Z$4,C241-$Z$4,IF(AND(N241="Sex",G241&lt;&gt;"",H241=""),$Z$3-G241,IF(AND(G241&lt;&gt;"",H241=""),$Z$3-G241,IF(AND(N241="Sex",H241&lt;$Y$3),$Z$3-H241,IF(AND(N241&lt;&gt;"Sex",H241&gt;$AA$8),"",IF(AND(N241="Sex",H241&gt;$Z$8),"",IF(AND(N241&lt;&gt;"Sex",I241&gt;$Z$8),$Z$8-H241,IF(AND(N241&lt;&gt;"Sex",H241&lt;$Y$8),$Z$8-H241,"")))))))))))))))</f>
        <v/>
      </c>
      <c r="Q241" s="33"/>
      <c r="R241" s="33"/>
      <c r="S241" s="33"/>
    </row>
    <row r="242" spans="1:19" x14ac:dyDescent="0.25">
      <c r="A242" s="116" t="s">
        <v>200</v>
      </c>
      <c r="B242" s="32">
        <v>43860</v>
      </c>
      <c r="C242" s="39">
        <f t="shared" si="15"/>
        <v>0.33333333333333331</v>
      </c>
      <c r="D242" s="33">
        <v>0.32569444444444445</v>
      </c>
      <c r="E242" s="33">
        <v>0.5</v>
      </c>
      <c r="F242" s="39">
        <f t="shared" si="16"/>
        <v>0.54166666666666663</v>
      </c>
      <c r="G242" s="33">
        <v>0.54166666666666663</v>
      </c>
      <c r="H242" s="33">
        <v>0.75</v>
      </c>
      <c r="I242" s="39">
        <f>IFERROR(IF(B242=VLOOKUP(B242,Feriados[],2,0),H242,IF(N242="Sáb",H242,IF(AND(B242&lt;$T$1,H242&lt;=$AA$3),$Z$3,IF(AND(N242="Sex",H242&gt;$AA$3),H242,IF(H242&lt;=$AA$3,$Z$3,IF(H242&lt;=$AA$8,$Z$8,H242)))))),IF(N242="Sáb",H242,IF(AND(B242&lt;$T$1,H242&lt;=$AA$3),$Z$3,IF(AND(N242="Sex",H242&gt;$AA$3),H242,IF(H242&lt;=$AA$3,$Z$3,IF(H242&lt;=$AA$8,$Z$8,H242))))))</f>
        <v>0.75</v>
      </c>
      <c r="J242" s="33">
        <f t="shared" si="17"/>
        <v>0.375</v>
      </c>
      <c r="K242" s="33">
        <f>IFERROR(IF(H242="","",IF(B242=VLOOKUP(B242,Feriados[],2,0),(H242-D242)-(G242-E242),IF(D242&lt;=$Y$4,(I242-D242)-(G242-E242),(I242-C242)-(F242-E242)))),IF(AND(D242&lt;=$Y$4,F242-E242=$AB$1),(I242-D242)-(F242-E242),IF(D242&lt;$Y$4,(I242-D242)-(G242-E242),(I242-C242)-(F242-E242))))</f>
        <v>0.38263888888888892</v>
      </c>
      <c r="L242" s="40">
        <f>IF(B242=_xlfn.XLOOKUP(B242,Feriados[FE Oficial],Feriados[FE Talvez],"",0),"",IF(Q242="Compensado","",IF(AND(N242="Sex",D242&lt;$Y$4),($Z$4-D242)+$AB$1-(F242-E242)+(I242-$Z$3),IF(AND(N242="Sex",I242&gt;$Z$3),($AB$1-(F242-E242))+(I242-$Z$3),IF(AND(N242="Sex",E242&lt;&gt;"",D242&lt;$Y$4),($Z$4-D242)+$AB$1-(F242-E242)+(I242-$Z$3),IF(N242="Sáb",(I242-D242)-(G242-E242)-(S242-R242),IF(AND(B242&lt;$T$1,I242&gt;$Z$3),H242-$Z$3,IF(D242&lt;$Y$4,($Z$4-D242)+($AB$1-(F242-E242))+(I242-$Z$8)+(S242-R242),IF(AND(S242&lt;&gt;"",D242&gt;$Z$4),(S242-R242)-($AB$1-(F242-E242)),IF(AND(S242&lt;&gt;"",D242&lt;$Y$4),(S242-R242)-($AB$1-(F242-E242)+($Z$4-D242)),IF(I242&gt;$Z$8,($AB$1-(F242-E242))+(I242-$Z$8),IF(AND(N242="Sex",(F242-E242)&lt;($AB$1-$W$1)),($AB$1-(F242-E242)),IF(AND(O242&gt;($AB$1-$W$1),D242&gt;$Z$4),"",IF(AND(B242&gt;=$T$1,(F242-E242)&gt;($AB$1-$W$1)),"",IF(AND(D242&gt;=$Y$4,I242=$Z$8,S242=""),($AB$1-(F242-E242)),IF(AND(P242&lt;&gt;"",S242&lt;&gt;""),I242-$Z$8,IF(AND(P242&lt;&gt;"",D242&gt;$Y$4),$AB$1-(F242-E242),"")))))))))))))))))</f>
        <v>7.6388888888888964E-3</v>
      </c>
      <c r="M242" s="107" t="str">
        <f>IFERROR(IF(H242="","",IF(B242=VLOOKUP(B242,Feriados[],2,0),(H242-D242)-(G242-E242),"")),"")</f>
        <v/>
      </c>
      <c r="N242" s="38" t="str">
        <f t="shared" si="18"/>
        <v>Qua</v>
      </c>
      <c r="O242" s="112">
        <f t="shared" si="19"/>
        <v>4.166666666666663E-2</v>
      </c>
      <c r="P242" s="113" t="str">
        <f>IF(B242=_xlfn.XLOOKUP(B242,Feriados[FE Oficial],Feriados[FE Talvez],"",0),"",IF(B242&lt;$T$1,"",IF(Q242="Consulta","",IF(Q242="Compensado","",IF(N242="Sáb","",IF(S242&lt;&gt;"",(S242-R242)-(($AB$1-O242)-(D242-$Z$4)),IF(O242&gt;$AB$1,O242-$AB$1,IF(C242&gt;$Z$4,C242-$Z$4,IF(AND(N242="Sex",G242&lt;&gt;"",H242=""),$Z$3-G242,IF(AND(G242&lt;&gt;"",H242=""),$Z$3-G242,IF(AND(N242="Sex",H242&lt;$Y$3),$Z$3-H242,IF(AND(N242&lt;&gt;"Sex",H242&gt;$AA$8),"",IF(AND(N242="Sex",H242&gt;$Z$8),"",IF(AND(N242&lt;&gt;"Sex",I242&gt;$Z$8),$Z$8-H242,IF(AND(N242&lt;&gt;"Sex",H242&lt;$Y$8),$Z$8-H242,"")))))))))))))))</f>
        <v/>
      </c>
      <c r="Q242" s="33"/>
      <c r="R242" s="33"/>
      <c r="S242" s="33"/>
    </row>
    <row r="243" spans="1:19" x14ac:dyDescent="0.25">
      <c r="A243" s="116" t="s">
        <v>199</v>
      </c>
      <c r="B243" s="32">
        <v>43860</v>
      </c>
      <c r="C243" s="39">
        <f t="shared" si="15"/>
        <v>0.33333333333333331</v>
      </c>
      <c r="D243" s="33">
        <v>0.32569444444444445</v>
      </c>
      <c r="E243" s="33">
        <v>0.5</v>
      </c>
      <c r="F243" s="39">
        <f t="shared" si="16"/>
        <v>0.54166666666666663</v>
      </c>
      <c r="G243" s="33">
        <v>0.54166666666666663</v>
      </c>
      <c r="H243" s="33">
        <v>0.75</v>
      </c>
      <c r="I243" s="39">
        <f>IFERROR(IF(B243=VLOOKUP(B243,Feriados[],2,0),H243,IF(N243="Sáb",H243,IF(AND(B243&lt;$T$1,H243&lt;=$AA$3),$Z$3,IF(AND(N243="Sex",H243&gt;$AA$3),H243,IF(H243&lt;=$AA$3,$Z$3,IF(H243&lt;=$AA$8,$Z$8,H243)))))),IF(N243="Sáb",H243,IF(AND(B243&lt;$T$1,H243&lt;=$AA$3),$Z$3,IF(AND(N243="Sex",H243&gt;$AA$3),H243,IF(H243&lt;=$AA$3,$Z$3,IF(H243&lt;=$AA$8,$Z$8,H243))))))</f>
        <v>0.75</v>
      </c>
      <c r="J243" s="33">
        <f t="shared" si="17"/>
        <v>0.375</v>
      </c>
      <c r="K243" s="33">
        <f>IFERROR(IF(H243="","",IF(B243=VLOOKUP(B243,Feriados[],2,0),(H243-D243)-(G243-E243),IF(D243&lt;=$Y$4,(I243-D243)-(G243-E243),(I243-C243)-(F243-E243)))),IF(AND(D243&lt;=$Y$4,F243-E243=$AB$1),(I243-D243)-(F243-E243),IF(D243&lt;$Y$4,(I243-D243)-(G243-E243),(I243-C243)-(F243-E243))))</f>
        <v>0.38263888888888892</v>
      </c>
      <c r="L243" s="40">
        <f>IF(B243=_xlfn.XLOOKUP(B243,Feriados[FE Oficial],Feriados[FE Talvez],"",0),"",IF(Q243="Compensado","",IF(AND(N243="Sex",D243&lt;$Y$4),($Z$4-D243)+$AB$1-(F243-E243)+(I243-$Z$3),IF(AND(N243="Sex",I243&gt;$Z$3),($AB$1-(F243-E243))+(I243-$Z$3),IF(AND(N243="Sex",E243&lt;&gt;"",D243&lt;$Y$4),($Z$4-D243)+$AB$1-(F243-E243)+(I243-$Z$3),IF(N243="Sáb",(I243-D243)-(G243-E243)-(S243-R243),IF(AND(B243&lt;$T$1,I243&gt;$Z$3),H243-$Z$3,IF(D243&lt;$Y$4,($Z$4-D243)+($AB$1-(F243-E243))+(I243-$Z$8)+(S243-R243),IF(AND(S243&lt;&gt;"",D243&gt;$Z$4),(S243-R243)-($AB$1-(F243-E243)),IF(AND(S243&lt;&gt;"",D243&lt;$Y$4),(S243-R243)-($AB$1-(F243-E243)+($Z$4-D243)),IF(I243&gt;$Z$8,($AB$1-(F243-E243))+(I243-$Z$8),IF(AND(N243="Sex",(F243-E243)&lt;($AB$1-$W$1)),($AB$1-(F243-E243)),IF(AND(O243&gt;($AB$1-$W$1),D243&gt;$Z$4),"",IF(AND(B243&gt;=$T$1,(F243-E243)&gt;($AB$1-$W$1)),"",IF(AND(D243&gt;=$Y$4,I243=$Z$8,S243=""),($AB$1-(F243-E243)),IF(AND(P243&lt;&gt;"",S243&lt;&gt;""),I243-$Z$8,IF(AND(P243&lt;&gt;"",D243&gt;$Y$4),$AB$1-(F243-E243),"")))))))))))))))))</f>
        <v>7.6388888888888964E-3</v>
      </c>
      <c r="M243" s="107" t="str">
        <f>IFERROR(IF(H243="","",IF(B243=VLOOKUP(B243,Feriados[],2,0),(H243-D243)-(G243-E243),"")),"")</f>
        <v/>
      </c>
      <c r="N243" s="38" t="str">
        <f t="shared" si="18"/>
        <v>Qua</v>
      </c>
      <c r="O243" s="112">
        <f t="shared" si="19"/>
        <v>4.166666666666663E-2</v>
      </c>
      <c r="P243" s="113" t="str">
        <f>IF(B243=_xlfn.XLOOKUP(B243,Feriados[FE Oficial],Feriados[FE Talvez],"",0),"",IF(B243&lt;$T$1,"",IF(Q243="Consulta","",IF(Q243="Compensado","",IF(N243="Sáb","",IF(S243&lt;&gt;"",(S243-R243)-(($AB$1-O243)-(D243-$Z$4)),IF(O243&gt;$AB$1,O243-$AB$1,IF(C243&gt;$Z$4,C243-$Z$4,IF(AND(N243="Sex",G243&lt;&gt;"",H243=""),$Z$3-G243,IF(AND(G243&lt;&gt;"",H243=""),$Z$3-G243,IF(AND(N243="Sex",H243&lt;$Y$3),$Z$3-H243,IF(AND(N243&lt;&gt;"Sex",H243&gt;$AA$8),"",IF(AND(N243="Sex",H243&gt;$Z$8),"",IF(AND(N243&lt;&gt;"Sex",I243&gt;$Z$8),$Z$8-H243,IF(AND(N243&lt;&gt;"Sex",H243&lt;$Y$8),$Z$8-H243,"")))))))))))))))</f>
        <v/>
      </c>
      <c r="Q243" s="33"/>
      <c r="R243" s="33"/>
      <c r="S243" s="33"/>
    </row>
    <row r="244" spans="1:19" x14ac:dyDescent="0.25">
      <c r="A244" s="115" t="s">
        <v>191</v>
      </c>
      <c r="B244" s="32">
        <v>43861</v>
      </c>
      <c r="C244" s="39">
        <f t="shared" si="15"/>
        <v>0.33333333333333331</v>
      </c>
      <c r="D244" s="33">
        <v>0.33333333333333331</v>
      </c>
      <c r="E244" s="33">
        <v>0.5</v>
      </c>
      <c r="F244" s="39">
        <f t="shared" si="16"/>
        <v>0.54166666666666663</v>
      </c>
      <c r="G244" s="33">
        <v>0.54166666666666663</v>
      </c>
      <c r="H244" s="33">
        <v>0.75</v>
      </c>
      <c r="I244" s="39">
        <f>IFERROR(IF(B244=VLOOKUP(B244,Feriados[],2,0),H244,IF(N244="Sáb",H244,IF(AND(B244&lt;$T$1,H244&lt;=$AA$3),$Z$3,IF(AND(N244="Sex",H244&gt;$AA$3),H244,IF(H244&lt;=$AA$3,$Z$3,IF(H244&lt;=$AA$8,$Z$8,H244)))))),IF(N244="Sáb",H244,IF(AND(B244&lt;$T$1,H244&lt;=$AA$3),$Z$3,IF(AND(N244="Sex",H244&gt;$AA$3),H244,IF(H244&lt;=$AA$3,$Z$3,IF(H244&lt;=$AA$8,$Z$8,H244))))))</f>
        <v>0.75</v>
      </c>
      <c r="J244" s="33">
        <f t="shared" si="17"/>
        <v>0.37500000000000006</v>
      </c>
      <c r="K244" s="33">
        <f>IFERROR(IF(H244="","",IF(B244=VLOOKUP(B244,Feriados[],2,0),(H244-D244)-(G244-E244),IF(D244&lt;=$Y$4,(I244-D244)-(G244-E244),(I244-C244)-(F244-E244)))),IF(AND(D244&lt;=$Y$4,F244-E244=$AB$1),(I244-D244)-(F244-E244),IF(D244&lt;$Y$4,(I244-D244)-(G244-E244),(I244-C244)-(F244-E244))))</f>
        <v>0.37500000000000006</v>
      </c>
      <c r="L244" s="40" t="str">
        <f>IF(B244=_xlfn.XLOOKUP(B244,Feriados[FE Oficial],Feriados[FE Talvez],"",0),"",IF(Q244="Compensado","",IF(AND(N244="Sex",D244&lt;$Y$4),($Z$4-D244)+$AB$1-(F244-E244)+(I244-$Z$3),IF(AND(N244="Sex",I244&gt;$Z$3),($AB$1-(F244-E244))+(I244-$Z$3),IF(AND(N244="Sex",E244&lt;&gt;"",D244&lt;$Y$4),($Z$4-D244)+$AB$1-(F244-E244)+(I244-$Z$3),IF(N244="Sáb",(I244-D244)-(G244-E244)-(S244-R244),IF(AND(B244&lt;$T$1,I244&gt;$Z$3),H244-$Z$3,IF(D244&lt;$Y$4,($Z$4-D244)+($AB$1-(F244-E244))+(I244-$Z$8)+(S244-R244),IF(AND(S244&lt;&gt;"",D244&gt;$Z$4),(S244-R244)-($AB$1-(F244-E244)),IF(AND(S244&lt;&gt;"",D244&lt;$Y$4),(S244-R244)-($AB$1-(F244-E244)+($Z$4-D244)),IF(I244&gt;$Z$8,($AB$1-(F244-E244))+(I244-$Z$8),IF(AND(N244="Sex",(F244-E244)&lt;($AB$1-$W$1)),($AB$1-(F244-E244)),IF(AND(O244&gt;($AB$1-$W$1),D244&gt;$Z$4),"",IF(AND(B244&gt;=$T$1,(F244-E244)&gt;($AB$1-$W$1)),"",IF(AND(D244&gt;=$Y$4,I244=$Z$8,S244=""),($AB$1-(F244-E244)),IF(AND(P244&lt;&gt;"",S244&lt;&gt;""),I244-$Z$8,IF(AND(P244&lt;&gt;"",D244&gt;$Y$4),$AB$1-(F244-E244),"")))))))))))))))))</f>
        <v/>
      </c>
      <c r="M244" s="107" t="str">
        <f>IFERROR(IF(H244="","",IF(B244=VLOOKUP(B244,Feriados[],2,0),(H244-D244)-(G244-E244),"")),"")</f>
        <v/>
      </c>
      <c r="N244" s="38" t="str">
        <f t="shared" si="18"/>
        <v>Qui</v>
      </c>
      <c r="O244" s="112">
        <f t="shared" si="19"/>
        <v>4.166666666666663E-2</v>
      </c>
      <c r="P244" s="113" t="str">
        <f>IF(B244=_xlfn.XLOOKUP(B244,Feriados[FE Oficial],Feriados[FE Talvez],"",0),"",IF(B244&lt;$T$1,"",IF(Q244="Consulta","",IF(Q244="Compensado","",IF(N244="Sáb","",IF(S244&lt;&gt;"",(S244-R244)-(($AB$1-O244)-(D244-$Z$4)),IF(O244&gt;$AB$1,O244-$AB$1,IF(C244&gt;$Z$4,C244-$Z$4,IF(AND(N244="Sex",G244&lt;&gt;"",H244=""),$Z$3-G244,IF(AND(G244&lt;&gt;"",H244=""),$Z$3-G244,IF(AND(N244="Sex",H244&lt;$Y$3),$Z$3-H244,IF(AND(N244&lt;&gt;"Sex",H244&gt;$AA$8),"",IF(AND(N244="Sex",H244&gt;$Z$8),"",IF(AND(N244&lt;&gt;"Sex",I244&gt;$Z$8),$Z$8-H244,IF(AND(N244&lt;&gt;"Sex",H244&lt;$Y$8),$Z$8-H244,"")))))))))))))))</f>
        <v/>
      </c>
      <c r="Q244" s="33"/>
      <c r="R244" s="33"/>
      <c r="S244" s="33"/>
    </row>
    <row r="245" spans="1:19" x14ac:dyDescent="0.25">
      <c r="A245" s="116" t="s">
        <v>191</v>
      </c>
      <c r="B245" s="32">
        <v>43862</v>
      </c>
      <c r="C245" s="39">
        <f t="shared" si="15"/>
        <v>0.33333333333333331</v>
      </c>
      <c r="D245" s="33">
        <v>0.33333333333333331</v>
      </c>
      <c r="E245" s="33">
        <v>0.5</v>
      </c>
      <c r="F245" s="39">
        <f t="shared" si="16"/>
        <v>0</v>
      </c>
      <c r="I245" s="39">
        <f>IFERROR(IF(B245=VLOOKUP(B245,Feriados[],2,0),H245,IF(N245="Sáb",H245,IF(AND(B245&lt;$T$1,H245&lt;=$AA$3),$Z$3,IF(AND(N245="Sex",H245&gt;$AA$3),H245,IF(H245&lt;=$AA$3,$Z$3,IF(H245&lt;=$AA$8,$Z$8,H245)))))),IF(N245="Sáb",H245,IF(AND(B245&lt;$T$1,H245&lt;=$AA$3),$Z$3,IF(AND(N245="Sex",H245&gt;$AA$3),H245,IF(H245&lt;=$AA$3,$Z$3,IF(H245&lt;=$AA$8,$Z$8,H245))))))</f>
        <v>0.70833333333333337</v>
      </c>
      <c r="J245" s="33">
        <f t="shared" si="17"/>
        <v>0.16666666666666669</v>
      </c>
      <c r="K245" s="33" t="str">
        <f>IFERROR(IF(H245="","",IF(B245=VLOOKUP(B245,Feriados[],2,0),(H245-D245)-(G245-E245),IF(D245&lt;=$Y$4,(I245-D245)-(G245-E245),(I245-C245)-(F245-E245)))),IF(AND(D245&lt;=$Y$4,F245-E245=$AB$1),(I245-D245)-(F245-E245),IF(D245&lt;$Y$4,(I245-D245)-(G245-E245),(I245-C245)-(F245-E245))))</f>
        <v/>
      </c>
      <c r="L245" s="40">
        <f>IF(B245=_xlfn.XLOOKUP(B245,Feriados[FE Oficial],Feriados[FE Talvez],"",0),"",IF(Q245="Compensado","",IF(AND(N245="Sex",D245&lt;$Y$4),($Z$4-D245)+$AB$1-(F245-E245)+(I245-$Z$3),IF(AND(N245="Sex",I245&gt;$Z$3),($AB$1-(F245-E245))+(I245-$Z$3),IF(AND(N245="Sex",E245&lt;&gt;"",D245&lt;$Y$4),($Z$4-D245)+$AB$1-(F245-E245)+(I245-$Z$3),IF(N245="Sáb",(I245-D245)-(G245-E245)-(S245-R245),IF(AND(B245&lt;$T$1,I245&gt;$Z$3),H245-$Z$3,IF(D245&lt;$Y$4,($Z$4-D245)+($AB$1-(F245-E245))+(I245-$Z$8)+(S245-R245),IF(AND(S245&lt;&gt;"",D245&gt;$Z$4),(S245-R245)-($AB$1-(F245-E245)),IF(AND(S245&lt;&gt;"",D245&lt;$Y$4),(S245-R245)-($AB$1-(F245-E245)+($Z$4-D245)),IF(I245&gt;$Z$8,($AB$1-(F245-E245))+(I245-$Z$8),IF(AND(N245="Sex",(F245-E245)&lt;($AB$1-$W$1)),($AB$1-(F245-E245)),IF(AND(O245&gt;($AB$1-$W$1),D245&gt;$Z$4),"",IF(AND(B245&gt;=$T$1,(F245-E245)&gt;($AB$1-$W$1)),"",IF(AND(D245&gt;=$Y$4,I245=$Z$8,S245=""),($AB$1-(F245-E245)),IF(AND(P245&lt;&gt;"",S245&lt;&gt;""),I245-$Z$8,IF(AND(P245&lt;&gt;"",D245&gt;$Y$4),$AB$1-(F245-E245),"")))))))))))))))))</f>
        <v>0.54166666666666663</v>
      </c>
      <c r="M245" s="107" t="str">
        <f>IFERROR(IF(H245="","",IF(B245=VLOOKUP(B245,Feriados[],2,0),(H245-D245)-(G245-E245),"")),"")</f>
        <v/>
      </c>
      <c r="N245" s="38" t="str">
        <f t="shared" si="18"/>
        <v>Sex</v>
      </c>
      <c r="O245" s="112">
        <f t="shared" si="19"/>
        <v>-0.5</v>
      </c>
      <c r="P245" s="113">
        <f>IF(B245=_xlfn.XLOOKUP(B245,Feriados[FE Oficial],Feriados[FE Talvez],"",0),"",IF(B245&lt;$T$1,"",IF(Q245="Consulta","",IF(Q245="Compensado","",IF(N245="Sáb","",IF(S245&lt;&gt;"",(S245-R245)-(($AB$1-O245)-(D245-$Z$4)),IF(O245&gt;$AB$1,O245-$AB$1,IF(C245&gt;$Z$4,C245-$Z$4,IF(AND(N245="Sex",G245&lt;&gt;"",H245=""),$Z$3-G245,IF(AND(G245&lt;&gt;"",H245=""),$Z$3-G245,IF(AND(N245="Sex",H245&lt;$Y$3),$Z$3-H245,IF(AND(N245&lt;&gt;"Sex",H245&gt;$AA$8),"",IF(AND(N245="Sex",H245&gt;$Z$8),"",IF(AND(N245&lt;&gt;"Sex",I245&gt;$Z$8),$Z$8-H245,IF(AND(N245&lt;&gt;"Sex",H245&lt;$Y$8),$Z$8-H245,"")))))))))))))))</f>
        <v>0.70833333333333337</v>
      </c>
      <c r="Q245" s="33"/>
      <c r="R245" s="33"/>
      <c r="S245" s="33"/>
    </row>
    <row r="246" spans="1:19" x14ac:dyDescent="0.25">
      <c r="A246" s="116" t="s">
        <v>191</v>
      </c>
      <c r="B246" s="32">
        <v>43865</v>
      </c>
      <c r="C246" s="39">
        <f t="shared" si="15"/>
        <v>0.33333333333333331</v>
      </c>
      <c r="D246" s="33">
        <v>0.33333333333333331</v>
      </c>
      <c r="E246" s="33">
        <v>0.5</v>
      </c>
      <c r="F246" s="39">
        <f t="shared" si="16"/>
        <v>0.54166666666666663</v>
      </c>
      <c r="G246" s="33">
        <v>0.54166666666666663</v>
      </c>
      <c r="H246" s="33">
        <v>0.75</v>
      </c>
      <c r="I246" s="39">
        <f>IFERROR(IF(B246=VLOOKUP(B246,Feriados[],2,0),H246,IF(N246="Sáb",H246,IF(AND(B246&lt;$T$1,H246&lt;=$AA$3),$Z$3,IF(AND(N246="Sex",H246&gt;$AA$3),H246,IF(H246&lt;=$AA$3,$Z$3,IF(H246&lt;=$AA$8,$Z$8,H246)))))),IF(N246="Sáb",H246,IF(AND(B246&lt;$T$1,H246&lt;=$AA$3),$Z$3,IF(AND(N246="Sex",H246&gt;$AA$3),H246,IF(H246&lt;=$AA$3,$Z$3,IF(H246&lt;=$AA$8,$Z$8,H246))))))</f>
        <v>0.75</v>
      </c>
      <c r="J246" s="33">
        <f t="shared" si="17"/>
        <v>0.37500000000000006</v>
      </c>
      <c r="K246" s="33">
        <f>IFERROR(IF(H246="","",IF(B246=VLOOKUP(B246,Feriados[],2,0),(H246-D246)-(G246-E246),IF(D246&lt;=$Y$4,(I246-D246)-(G246-E246),(I246-C246)-(F246-E246)))),IF(AND(D246&lt;=$Y$4,F246-E246=$AB$1),(I246-D246)-(F246-E246),IF(D246&lt;$Y$4,(I246-D246)-(G246-E246),(I246-C246)-(F246-E246))))</f>
        <v>0.37500000000000006</v>
      </c>
      <c r="L246" s="40" t="str">
        <f>IF(B246=_xlfn.XLOOKUP(B246,Feriados[FE Oficial],Feriados[FE Talvez],"",0),"",IF(Q246="Compensado","",IF(AND(N246="Sex",D246&lt;$Y$4),($Z$4-D246)+$AB$1-(F246-E246)+(I246-$Z$3),IF(AND(N246="Sex",I246&gt;$Z$3),($AB$1-(F246-E246))+(I246-$Z$3),IF(AND(N246="Sex",E246&lt;&gt;"",D246&lt;$Y$4),($Z$4-D246)+$AB$1-(F246-E246)+(I246-$Z$3),IF(N246="Sáb",(I246-D246)-(G246-E246)-(S246-R246),IF(AND(B246&lt;$T$1,I246&gt;$Z$3),H246-$Z$3,IF(D246&lt;$Y$4,($Z$4-D246)+($AB$1-(F246-E246))+(I246-$Z$8)+(S246-R246),IF(AND(S246&lt;&gt;"",D246&gt;$Z$4),(S246-R246)-($AB$1-(F246-E246)),IF(AND(S246&lt;&gt;"",D246&lt;$Y$4),(S246-R246)-($AB$1-(F246-E246)+($Z$4-D246)),IF(I246&gt;$Z$8,($AB$1-(F246-E246))+(I246-$Z$8),IF(AND(N246="Sex",(F246-E246)&lt;($AB$1-$W$1)),($AB$1-(F246-E246)),IF(AND(O246&gt;($AB$1-$W$1),D246&gt;$Z$4),"",IF(AND(B246&gt;=$T$1,(F246-E246)&gt;($AB$1-$W$1)),"",IF(AND(D246&gt;=$Y$4,I246=$Z$8,S246=""),($AB$1-(F246-E246)),IF(AND(P246&lt;&gt;"",S246&lt;&gt;""),I246-$Z$8,IF(AND(P246&lt;&gt;"",D246&gt;$Y$4),$AB$1-(F246-E246),"")))))))))))))))))</f>
        <v/>
      </c>
      <c r="M246" s="107" t="str">
        <f>IFERROR(IF(H246="","",IF(B246=VLOOKUP(B246,Feriados[],2,0),(H246-D246)-(G246-E246),"")),"")</f>
        <v/>
      </c>
      <c r="N246" s="38" t="str">
        <f t="shared" si="18"/>
        <v>Seg</v>
      </c>
      <c r="O246" s="112">
        <f t="shared" si="19"/>
        <v>4.166666666666663E-2</v>
      </c>
      <c r="P246" s="113" t="str">
        <f>IF(B246=_xlfn.XLOOKUP(B246,Feriados[FE Oficial],Feriados[FE Talvez],"",0),"",IF(B246&lt;$T$1,"",IF(Q246="Consulta","",IF(Q246="Compensado","",IF(N246="Sáb","",IF(S246&lt;&gt;"",(S246-R246)-(($AB$1-O246)-(D246-$Z$4)),IF(O246&gt;$AB$1,O246-$AB$1,IF(C246&gt;$Z$4,C246-$Z$4,IF(AND(N246="Sex",G246&lt;&gt;"",H246=""),$Z$3-G246,IF(AND(G246&lt;&gt;"",H246=""),$Z$3-G246,IF(AND(N246="Sex",H246&lt;$Y$3),$Z$3-H246,IF(AND(N246&lt;&gt;"Sex",H246&gt;$AA$8),"",IF(AND(N246="Sex",H246&gt;$Z$8),"",IF(AND(N246&lt;&gt;"Sex",I246&gt;$Z$8),$Z$8-H246,IF(AND(N246&lt;&gt;"Sex",H246&lt;$Y$8),$Z$8-H246,"")))))))))))))))</f>
        <v/>
      </c>
      <c r="Q246" s="33"/>
      <c r="R246" s="33"/>
      <c r="S246" s="33"/>
    </row>
    <row r="247" spans="1:19" x14ac:dyDescent="0.25">
      <c r="A247" s="116" t="s">
        <v>202</v>
      </c>
      <c r="B247" s="32">
        <v>43865</v>
      </c>
      <c r="C247" s="39">
        <f t="shared" si="15"/>
        <v>0.33333333333333331</v>
      </c>
      <c r="D247" s="33">
        <v>0.33333333333333331</v>
      </c>
      <c r="E247" s="33">
        <v>0.5</v>
      </c>
      <c r="F247" s="39">
        <f t="shared" si="16"/>
        <v>0.54166666666666663</v>
      </c>
      <c r="G247" s="33">
        <v>0.54166666666666663</v>
      </c>
      <c r="H247" s="33">
        <v>0.75</v>
      </c>
      <c r="I247" s="39">
        <f>IFERROR(IF(B247=VLOOKUP(B247,Feriados[],2,0),H247,IF(N247="Sáb",H247,IF(AND(B247&lt;$T$1,H247&lt;=$AA$3),$Z$3,IF(AND(N247="Sex",H247&gt;$AA$3),H247,IF(H247&lt;=$AA$3,$Z$3,IF(H247&lt;=$AA$8,$Z$8,H247)))))),IF(N247="Sáb",H247,IF(AND(B247&lt;$T$1,H247&lt;=$AA$3),$Z$3,IF(AND(N247="Sex",H247&gt;$AA$3),H247,IF(H247&lt;=$AA$3,$Z$3,IF(H247&lt;=$AA$8,$Z$8,H247))))))</f>
        <v>0.75</v>
      </c>
      <c r="J247" s="33">
        <f t="shared" si="17"/>
        <v>0.37500000000000006</v>
      </c>
      <c r="K247" s="33">
        <f>IFERROR(IF(H247="","",IF(B247=VLOOKUP(B247,Feriados[],2,0),(H247-D247)-(G247-E247),IF(D247&lt;=$Y$4,(I247-D247)-(G247-E247),(I247-C247)-(F247-E247)))),IF(AND(D247&lt;=$Y$4,F247-E247=$AB$1),(I247-D247)-(F247-E247),IF(D247&lt;$Y$4,(I247-D247)-(G247-E247),(I247-C247)-(F247-E247))))</f>
        <v>0.37500000000000006</v>
      </c>
      <c r="L247" s="40" t="str">
        <f>IF(B247=_xlfn.XLOOKUP(B247,Feriados[FE Oficial],Feriados[FE Talvez],"",0),"",IF(Q247="Compensado","",IF(AND(N247="Sex",D247&lt;$Y$4),($Z$4-D247)+$AB$1-(F247-E247)+(I247-$Z$3),IF(AND(N247="Sex",I247&gt;$Z$3),($AB$1-(F247-E247))+(I247-$Z$3),IF(AND(N247="Sex",E247&lt;&gt;"",D247&lt;$Y$4),($Z$4-D247)+$AB$1-(F247-E247)+(I247-$Z$3),IF(N247="Sáb",(I247-D247)-(G247-E247)-(S247-R247),IF(AND(B247&lt;$T$1,I247&gt;$Z$3),H247-$Z$3,IF(D247&lt;$Y$4,($Z$4-D247)+($AB$1-(F247-E247))+(I247-$Z$8)+(S247-R247),IF(AND(S247&lt;&gt;"",D247&gt;$Z$4),(S247-R247)-($AB$1-(F247-E247)),IF(AND(S247&lt;&gt;"",D247&lt;$Y$4),(S247-R247)-($AB$1-(F247-E247)+($Z$4-D247)),IF(I247&gt;$Z$8,($AB$1-(F247-E247))+(I247-$Z$8),IF(AND(N247="Sex",(F247-E247)&lt;($AB$1-$W$1)),($AB$1-(F247-E247)),IF(AND(O247&gt;($AB$1-$W$1),D247&gt;$Z$4),"",IF(AND(B247&gt;=$T$1,(F247-E247)&gt;($AB$1-$W$1)),"",IF(AND(D247&gt;=$Y$4,I247=$Z$8,S247=""),($AB$1-(F247-E247)),IF(AND(P247&lt;&gt;"",S247&lt;&gt;""),I247-$Z$8,IF(AND(P247&lt;&gt;"",D247&gt;$Y$4),$AB$1-(F247-E247),"")))))))))))))))))</f>
        <v/>
      </c>
      <c r="M247" s="107" t="str">
        <f>IFERROR(IF(H247="","",IF(B247=VLOOKUP(B247,Feriados[],2,0),(H247-D247)-(G247-E247),"")),"")</f>
        <v/>
      </c>
      <c r="N247" s="38" t="str">
        <f t="shared" si="18"/>
        <v>Seg</v>
      </c>
      <c r="O247" s="112">
        <f t="shared" si="19"/>
        <v>4.166666666666663E-2</v>
      </c>
      <c r="P247" s="113" t="str">
        <f>IF(B247=_xlfn.XLOOKUP(B247,Feriados[FE Oficial],Feriados[FE Talvez],"",0),"",IF(B247&lt;$T$1,"",IF(Q247="Consulta","",IF(Q247="Compensado","",IF(N247="Sáb","",IF(S247&lt;&gt;"",(S247-R247)-(($AB$1-O247)-(D247-$Z$4)),IF(O247&gt;$AB$1,O247-$AB$1,IF(C247&gt;$Z$4,C247-$Z$4,IF(AND(N247="Sex",G247&lt;&gt;"",H247=""),$Z$3-G247,IF(AND(G247&lt;&gt;"",H247=""),$Z$3-G247,IF(AND(N247="Sex",H247&lt;$Y$3),$Z$3-H247,IF(AND(N247&lt;&gt;"Sex",H247&gt;$AA$8),"",IF(AND(N247="Sex",H247&gt;$Z$8),"",IF(AND(N247&lt;&gt;"Sex",I247&gt;$Z$8),$Z$8-H247,IF(AND(N247&lt;&gt;"Sex",H247&lt;$Y$8),$Z$8-H247,"")))))))))))))))</f>
        <v/>
      </c>
      <c r="Q247" s="33"/>
      <c r="R247" s="33"/>
      <c r="S247" s="33"/>
    </row>
    <row r="248" spans="1:19" x14ac:dyDescent="0.25">
      <c r="A248" s="116" t="s">
        <v>203</v>
      </c>
      <c r="B248" s="32">
        <v>43865</v>
      </c>
      <c r="C248" s="39">
        <f t="shared" si="15"/>
        <v>0.33333333333333331</v>
      </c>
      <c r="D248" s="33">
        <v>0.33333333333333331</v>
      </c>
      <c r="E248" s="33">
        <v>0.5</v>
      </c>
      <c r="F248" s="39">
        <f t="shared" si="16"/>
        <v>0.54166666666666663</v>
      </c>
      <c r="G248" s="33">
        <v>0.54166666666666663</v>
      </c>
      <c r="H248" s="33">
        <v>0.75</v>
      </c>
      <c r="I248" s="39">
        <f>IFERROR(IF(B248=VLOOKUP(B248,Feriados[],2,0),H248,IF(N248="Sáb",H248,IF(AND(B248&lt;$T$1,H248&lt;=$AA$3),$Z$3,IF(AND(N248="Sex",H248&gt;$AA$3),H248,IF(H248&lt;=$AA$3,$Z$3,IF(H248&lt;=$AA$8,$Z$8,H248)))))),IF(N248="Sáb",H248,IF(AND(B248&lt;$T$1,H248&lt;=$AA$3),$Z$3,IF(AND(N248="Sex",H248&gt;$AA$3),H248,IF(H248&lt;=$AA$3,$Z$3,IF(H248&lt;=$AA$8,$Z$8,H248))))))</f>
        <v>0.75</v>
      </c>
      <c r="J248" s="33">
        <f t="shared" si="17"/>
        <v>0.37500000000000006</v>
      </c>
      <c r="K248" s="33">
        <f>IFERROR(IF(H248="","",IF(B248=VLOOKUP(B248,Feriados[],2,0),(H248-D248)-(G248-E248),IF(D248&lt;=$Y$4,(I248-D248)-(G248-E248),(I248-C248)-(F248-E248)))),IF(AND(D248&lt;=$Y$4,F248-E248=$AB$1),(I248-D248)-(F248-E248),IF(D248&lt;$Y$4,(I248-D248)-(G248-E248),(I248-C248)-(F248-E248))))</f>
        <v>0.37500000000000006</v>
      </c>
      <c r="L248" s="40" t="str">
        <f>IF(B248=_xlfn.XLOOKUP(B248,Feriados[FE Oficial],Feriados[FE Talvez],"",0),"",IF(Q248="Compensado","",IF(AND(N248="Sex",D248&lt;$Y$4),($Z$4-D248)+$AB$1-(F248-E248)+(I248-$Z$3),IF(AND(N248="Sex",I248&gt;$Z$3),($AB$1-(F248-E248))+(I248-$Z$3),IF(AND(N248="Sex",E248&lt;&gt;"",D248&lt;$Y$4),($Z$4-D248)+$AB$1-(F248-E248)+(I248-$Z$3),IF(N248="Sáb",(I248-D248)-(G248-E248)-(S248-R248),IF(AND(B248&lt;$T$1,I248&gt;$Z$3),H248-$Z$3,IF(D248&lt;$Y$4,($Z$4-D248)+($AB$1-(F248-E248))+(I248-$Z$8)+(S248-R248),IF(AND(S248&lt;&gt;"",D248&gt;$Z$4),(S248-R248)-($AB$1-(F248-E248)),IF(AND(S248&lt;&gt;"",D248&lt;$Y$4),(S248-R248)-($AB$1-(F248-E248)+($Z$4-D248)),IF(I248&gt;$Z$8,($AB$1-(F248-E248))+(I248-$Z$8),IF(AND(N248="Sex",(F248-E248)&lt;($AB$1-$W$1)),($AB$1-(F248-E248)),IF(AND(O248&gt;($AB$1-$W$1),D248&gt;$Z$4),"",IF(AND(B248&gt;=$T$1,(F248-E248)&gt;($AB$1-$W$1)),"",IF(AND(D248&gt;=$Y$4,I248=$Z$8,S248=""),($AB$1-(F248-E248)),IF(AND(P248&lt;&gt;"",S248&lt;&gt;""),I248-$Z$8,IF(AND(P248&lt;&gt;"",D248&gt;$Y$4),$AB$1-(F248-E248),"")))))))))))))))))</f>
        <v/>
      </c>
      <c r="M248" s="107" t="str">
        <f>IFERROR(IF(H248="","",IF(B248=VLOOKUP(B248,Feriados[],2,0),(H248-D248)-(G248-E248),"")),"")</f>
        <v/>
      </c>
      <c r="N248" s="38" t="str">
        <f t="shared" si="18"/>
        <v>Seg</v>
      </c>
      <c r="O248" s="112">
        <f t="shared" si="19"/>
        <v>4.166666666666663E-2</v>
      </c>
      <c r="P248" s="113" t="str">
        <f>IF(B248=_xlfn.XLOOKUP(B248,Feriados[FE Oficial],Feriados[FE Talvez],"",0),"",IF(B248&lt;$T$1,"",IF(Q248="Consulta","",IF(Q248="Compensado","",IF(N248="Sáb","",IF(S248&lt;&gt;"",(S248-R248)-(($AB$1-O248)-(D248-$Z$4)),IF(O248&gt;$AB$1,O248-$AB$1,IF(C248&gt;$Z$4,C248-$Z$4,IF(AND(N248="Sex",G248&lt;&gt;"",H248=""),$Z$3-G248,IF(AND(G248&lt;&gt;"",H248=""),$Z$3-G248,IF(AND(N248="Sex",H248&lt;$Y$3),$Z$3-H248,IF(AND(N248&lt;&gt;"Sex",H248&gt;$AA$8),"",IF(AND(N248="Sex",H248&gt;$Z$8),"",IF(AND(N248&lt;&gt;"Sex",I248&gt;$Z$8),$Z$8-H248,IF(AND(N248&lt;&gt;"Sex",H248&lt;$Y$8),$Z$8-H248,"")))))))))))))))</f>
        <v/>
      </c>
      <c r="Q248" s="33"/>
      <c r="R248" s="33"/>
      <c r="S248" s="33"/>
    </row>
    <row r="249" spans="1:19" x14ac:dyDescent="0.25">
      <c r="A249" s="116" t="s">
        <v>191</v>
      </c>
      <c r="B249" s="32">
        <v>43866</v>
      </c>
      <c r="C249" s="39">
        <f t="shared" si="15"/>
        <v>0.33333333333333331</v>
      </c>
      <c r="D249" s="33">
        <v>0.33333333333333331</v>
      </c>
      <c r="E249" s="33">
        <v>0.5</v>
      </c>
      <c r="F249" s="39">
        <f t="shared" si="16"/>
        <v>0.54166666666666663</v>
      </c>
      <c r="G249" s="33">
        <v>0.54166666666666663</v>
      </c>
      <c r="H249" s="33">
        <v>0.75</v>
      </c>
      <c r="I249" s="39">
        <f>IFERROR(IF(B249=VLOOKUP(B249,Feriados[],2,0),H249,IF(N249="Sáb",H249,IF(AND(B249&lt;$T$1,H249&lt;=$AA$3),$Z$3,IF(AND(N249="Sex",H249&gt;$AA$3),H249,IF(H249&lt;=$AA$3,$Z$3,IF(H249&lt;=$AA$8,$Z$8,H249)))))),IF(N249="Sáb",H249,IF(AND(B249&lt;$T$1,H249&lt;=$AA$3),$Z$3,IF(AND(N249="Sex",H249&gt;$AA$3),H249,IF(H249&lt;=$AA$3,$Z$3,IF(H249&lt;=$AA$8,$Z$8,H249))))))</f>
        <v>0.75</v>
      </c>
      <c r="J249" s="33">
        <f t="shared" si="17"/>
        <v>0.37500000000000006</v>
      </c>
      <c r="K249" s="33">
        <f>IFERROR(IF(H249="","",IF(B249=VLOOKUP(B249,Feriados[],2,0),(H249-D249)-(G249-E249),IF(D249&lt;=$Y$4,(I249-D249)-(G249-E249),(I249-C249)-(F249-E249)))),IF(AND(D249&lt;=$Y$4,F249-E249=$AB$1),(I249-D249)-(F249-E249),IF(D249&lt;$Y$4,(I249-D249)-(G249-E249),(I249-C249)-(F249-E249))))</f>
        <v>0.37500000000000006</v>
      </c>
      <c r="L249" s="40" t="str">
        <f>IF(B249=_xlfn.XLOOKUP(B249,Feriados[FE Oficial],Feriados[FE Talvez],"",0),"",IF(Q249="Compensado","",IF(AND(N249="Sex",D249&lt;$Y$4),($Z$4-D249)+$AB$1-(F249-E249)+(I249-$Z$3),IF(AND(N249="Sex",I249&gt;$Z$3),($AB$1-(F249-E249))+(I249-$Z$3),IF(AND(N249="Sex",E249&lt;&gt;"",D249&lt;$Y$4),($Z$4-D249)+$AB$1-(F249-E249)+(I249-$Z$3),IF(N249="Sáb",(I249-D249)-(G249-E249)-(S249-R249),IF(AND(B249&lt;$T$1,I249&gt;$Z$3),H249-$Z$3,IF(D249&lt;$Y$4,($Z$4-D249)+($AB$1-(F249-E249))+(I249-$Z$8)+(S249-R249),IF(AND(S249&lt;&gt;"",D249&gt;$Z$4),(S249-R249)-($AB$1-(F249-E249)),IF(AND(S249&lt;&gt;"",D249&lt;$Y$4),(S249-R249)-($AB$1-(F249-E249)+($Z$4-D249)),IF(I249&gt;$Z$8,($AB$1-(F249-E249))+(I249-$Z$8),IF(AND(N249="Sex",(F249-E249)&lt;($AB$1-$W$1)),($AB$1-(F249-E249)),IF(AND(O249&gt;($AB$1-$W$1),D249&gt;$Z$4),"",IF(AND(B249&gt;=$T$1,(F249-E249)&gt;($AB$1-$W$1)),"",IF(AND(D249&gt;=$Y$4,I249=$Z$8,S249=""),($AB$1-(F249-E249)),IF(AND(P249&lt;&gt;"",S249&lt;&gt;""),I249-$Z$8,IF(AND(P249&lt;&gt;"",D249&gt;$Y$4),$AB$1-(F249-E249),"")))))))))))))))))</f>
        <v/>
      </c>
      <c r="M249" s="107" t="str">
        <f>IFERROR(IF(H249="","",IF(B249=VLOOKUP(B249,Feriados[],2,0),(H249-D249)-(G249-E249),"")),"")</f>
        <v/>
      </c>
      <c r="N249" s="38" t="str">
        <f t="shared" si="18"/>
        <v>Ter</v>
      </c>
      <c r="O249" s="112">
        <f t="shared" si="19"/>
        <v>4.166666666666663E-2</v>
      </c>
      <c r="P249" s="113" t="str">
        <f>IF(B249=_xlfn.XLOOKUP(B249,Feriados[FE Oficial],Feriados[FE Talvez],"",0),"",IF(B249&lt;$T$1,"",IF(Q249="Consulta","",IF(Q249="Compensado","",IF(N249="Sáb","",IF(S249&lt;&gt;"",(S249-R249)-(($AB$1-O249)-(D249-$Z$4)),IF(O249&gt;$AB$1,O249-$AB$1,IF(C249&gt;$Z$4,C249-$Z$4,IF(AND(N249="Sex",G249&lt;&gt;"",H249=""),$Z$3-G249,IF(AND(G249&lt;&gt;"",H249=""),$Z$3-G249,IF(AND(N249="Sex",H249&lt;$Y$3),$Z$3-H249,IF(AND(N249&lt;&gt;"Sex",H249&gt;$AA$8),"",IF(AND(N249="Sex",H249&gt;$Z$8),"",IF(AND(N249&lt;&gt;"Sex",I249&gt;$Z$8),$Z$8-H249,IF(AND(N249&lt;&gt;"Sex",H249&lt;$Y$8),$Z$8-H249,"")))))))))))))))</f>
        <v/>
      </c>
      <c r="Q249" s="33"/>
      <c r="R249" s="33"/>
      <c r="S249" s="33"/>
    </row>
    <row r="250" spans="1:19" x14ac:dyDescent="0.25">
      <c r="A250" s="116" t="s">
        <v>202</v>
      </c>
      <c r="B250" s="32">
        <v>43866</v>
      </c>
      <c r="C250" s="39">
        <f t="shared" si="15"/>
        <v>0.33333333333333331</v>
      </c>
      <c r="D250" s="33">
        <v>0.33333333333333331</v>
      </c>
      <c r="E250" s="33">
        <v>0.5</v>
      </c>
      <c r="F250" s="39">
        <f t="shared" si="16"/>
        <v>0.54166666666666663</v>
      </c>
      <c r="G250" s="33">
        <v>0.54166666666666663</v>
      </c>
      <c r="H250" s="33">
        <v>0.75</v>
      </c>
      <c r="I250" s="39">
        <f>IFERROR(IF(B250=VLOOKUP(B250,Feriados[],2,0),H250,IF(N250="Sáb",H250,IF(AND(B250&lt;$T$1,H250&lt;=$AA$3),$Z$3,IF(AND(N250="Sex",H250&gt;$AA$3),H250,IF(H250&lt;=$AA$3,$Z$3,IF(H250&lt;=$AA$8,$Z$8,H250)))))),IF(N250="Sáb",H250,IF(AND(B250&lt;$T$1,H250&lt;=$AA$3),$Z$3,IF(AND(N250="Sex",H250&gt;$AA$3),H250,IF(H250&lt;=$AA$3,$Z$3,IF(H250&lt;=$AA$8,$Z$8,H250))))))</f>
        <v>0.75</v>
      </c>
      <c r="J250" s="33">
        <f t="shared" si="17"/>
        <v>0.37500000000000006</v>
      </c>
      <c r="K250" s="33">
        <f>IFERROR(IF(H250="","",IF(B250=VLOOKUP(B250,Feriados[],2,0),(H250-D250)-(G250-E250),IF(D250&lt;=$Y$4,(I250-D250)-(G250-E250),(I250-C250)-(F250-E250)))),IF(AND(D250&lt;=$Y$4,F250-E250=$AB$1),(I250-D250)-(F250-E250),IF(D250&lt;$Y$4,(I250-D250)-(G250-E250),(I250-C250)-(F250-E250))))</f>
        <v>0.37500000000000006</v>
      </c>
      <c r="L250" s="40" t="str">
        <f>IF(B250=_xlfn.XLOOKUP(B250,Feriados[FE Oficial],Feriados[FE Talvez],"",0),"",IF(Q250="Compensado","",IF(AND(N250="Sex",D250&lt;$Y$4),($Z$4-D250)+$AB$1-(F250-E250)+(I250-$Z$3),IF(AND(N250="Sex",I250&gt;$Z$3),($AB$1-(F250-E250))+(I250-$Z$3),IF(AND(N250="Sex",E250&lt;&gt;"",D250&lt;$Y$4),($Z$4-D250)+$AB$1-(F250-E250)+(I250-$Z$3),IF(N250="Sáb",(I250-D250)-(G250-E250)-(S250-R250),IF(AND(B250&lt;$T$1,I250&gt;$Z$3),H250-$Z$3,IF(D250&lt;$Y$4,($Z$4-D250)+($AB$1-(F250-E250))+(I250-$Z$8)+(S250-R250),IF(AND(S250&lt;&gt;"",D250&gt;$Z$4),(S250-R250)-($AB$1-(F250-E250)),IF(AND(S250&lt;&gt;"",D250&lt;$Y$4),(S250-R250)-($AB$1-(F250-E250)+($Z$4-D250)),IF(I250&gt;$Z$8,($AB$1-(F250-E250))+(I250-$Z$8),IF(AND(N250="Sex",(F250-E250)&lt;($AB$1-$W$1)),($AB$1-(F250-E250)),IF(AND(O250&gt;($AB$1-$W$1),D250&gt;$Z$4),"",IF(AND(B250&gt;=$T$1,(F250-E250)&gt;($AB$1-$W$1)),"",IF(AND(D250&gt;=$Y$4,I250=$Z$8,S250=""),($AB$1-(F250-E250)),IF(AND(P250&lt;&gt;"",S250&lt;&gt;""),I250-$Z$8,IF(AND(P250&lt;&gt;"",D250&gt;$Y$4),$AB$1-(F250-E250),"")))))))))))))))))</f>
        <v/>
      </c>
      <c r="M250" s="107" t="str">
        <f>IFERROR(IF(H250="","",IF(B250=VLOOKUP(B250,Feriados[],2,0),(H250-D250)-(G250-E250),"")),"")</f>
        <v/>
      </c>
      <c r="N250" s="38" t="str">
        <f t="shared" si="18"/>
        <v>Ter</v>
      </c>
      <c r="O250" s="112">
        <f t="shared" si="19"/>
        <v>4.166666666666663E-2</v>
      </c>
      <c r="P250" s="113" t="str">
        <f>IF(B250=_xlfn.XLOOKUP(B250,Feriados[FE Oficial],Feriados[FE Talvez],"",0),"",IF(B250&lt;$T$1,"",IF(Q250="Consulta","",IF(Q250="Compensado","",IF(N250="Sáb","",IF(S250&lt;&gt;"",(S250-R250)-(($AB$1-O250)-(D250-$Z$4)),IF(O250&gt;$AB$1,O250-$AB$1,IF(C250&gt;$Z$4,C250-$Z$4,IF(AND(N250="Sex",G250&lt;&gt;"",H250=""),$Z$3-G250,IF(AND(G250&lt;&gt;"",H250=""),$Z$3-G250,IF(AND(N250="Sex",H250&lt;$Y$3),$Z$3-H250,IF(AND(N250&lt;&gt;"Sex",H250&gt;$AA$8),"",IF(AND(N250="Sex",H250&gt;$Z$8),"",IF(AND(N250&lt;&gt;"Sex",I250&gt;$Z$8),$Z$8-H250,IF(AND(N250&lt;&gt;"Sex",H250&lt;$Y$8),$Z$8-H250,"")))))))))))))))</f>
        <v/>
      </c>
      <c r="Q250" s="33"/>
      <c r="R250" s="33"/>
      <c r="S250" s="33"/>
    </row>
    <row r="251" spans="1:19" x14ac:dyDescent="0.25">
      <c r="A251" s="116" t="s">
        <v>203</v>
      </c>
      <c r="B251" s="32">
        <v>43866</v>
      </c>
      <c r="C251" s="39">
        <f t="shared" si="15"/>
        <v>0.33333333333333331</v>
      </c>
      <c r="D251" s="33">
        <v>0.33333333333333331</v>
      </c>
      <c r="E251" s="33">
        <v>0.5</v>
      </c>
      <c r="F251" s="39">
        <f t="shared" si="16"/>
        <v>0.54166666666666663</v>
      </c>
      <c r="G251" s="33">
        <v>0.54166666666666663</v>
      </c>
      <c r="H251" s="33">
        <v>0.75</v>
      </c>
      <c r="I251" s="39">
        <f>IFERROR(IF(B251=VLOOKUP(B251,Feriados[],2,0),H251,IF(N251="Sáb",H251,IF(AND(B251&lt;$T$1,H251&lt;=$AA$3),$Z$3,IF(AND(N251="Sex",H251&gt;$AA$3),H251,IF(H251&lt;=$AA$3,$Z$3,IF(H251&lt;=$AA$8,$Z$8,H251)))))),IF(N251="Sáb",H251,IF(AND(B251&lt;$T$1,H251&lt;=$AA$3),$Z$3,IF(AND(N251="Sex",H251&gt;$AA$3),H251,IF(H251&lt;=$AA$3,$Z$3,IF(H251&lt;=$AA$8,$Z$8,H251))))))</f>
        <v>0.75</v>
      </c>
      <c r="J251" s="33">
        <f t="shared" si="17"/>
        <v>0.37500000000000006</v>
      </c>
      <c r="K251" s="33">
        <f>IFERROR(IF(H251="","",IF(B251=VLOOKUP(B251,Feriados[],2,0),(H251-D251)-(G251-E251),IF(D251&lt;=$Y$4,(I251-D251)-(G251-E251),(I251-C251)-(F251-E251)))),IF(AND(D251&lt;=$Y$4,F251-E251=$AB$1),(I251-D251)-(F251-E251),IF(D251&lt;$Y$4,(I251-D251)-(G251-E251),(I251-C251)-(F251-E251))))</f>
        <v>0.37500000000000006</v>
      </c>
      <c r="L251" s="40" t="str">
        <f>IF(B251=_xlfn.XLOOKUP(B251,Feriados[FE Oficial],Feriados[FE Talvez],"",0),"",IF(Q251="Compensado","",IF(AND(N251="Sex",D251&lt;$Y$4),($Z$4-D251)+$AB$1-(F251-E251)+(I251-$Z$3),IF(AND(N251="Sex",I251&gt;$Z$3),($AB$1-(F251-E251))+(I251-$Z$3),IF(AND(N251="Sex",E251&lt;&gt;"",D251&lt;$Y$4),($Z$4-D251)+$AB$1-(F251-E251)+(I251-$Z$3),IF(N251="Sáb",(I251-D251)-(G251-E251)-(S251-R251),IF(AND(B251&lt;$T$1,I251&gt;$Z$3),H251-$Z$3,IF(D251&lt;$Y$4,($Z$4-D251)+($AB$1-(F251-E251))+(I251-$Z$8)+(S251-R251),IF(AND(S251&lt;&gt;"",D251&gt;$Z$4),(S251-R251)-($AB$1-(F251-E251)),IF(AND(S251&lt;&gt;"",D251&lt;$Y$4),(S251-R251)-($AB$1-(F251-E251)+($Z$4-D251)),IF(I251&gt;$Z$8,($AB$1-(F251-E251))+(I251-$Z$8),IF(AND(N251="Sex",(F251-E251)&lt;($AB$1-$W$1)),($AB$1-(F251-E251)),IF(AND(O251&gt;($AB$1-$W$1),D251&gt;$Z$4),"",IF(AND(B251&gt;=$T$1,(F251-E251)&gt;($AB$1-$W$1)),"",IF(AND(D251&gt;=$Y$4,I251=$Z$8,S251=""),($AB$1-(F251-E251)),IF(AND(P251&lt;&gt;"",S251&lt;&gt;""),I251-$Z$8,IF(AND(P251&lt;&gt;"",D251&gt;$Y$4),$AB$1-(F251-E251),"")))))))))))))))))</f>
        <v/>
      </c>
      <c r="M251" s="107" t="str">
        <f>IFERROR(IF(H251="","",IF(B251=VLOOKUP(B251,Feriados[],2,0),(H251-D251)-(G251-E251),"")),"")</f>
        <v/>
      </c>
      <c r="N251" s="38" t="str">
        <f t="shared" si="18"/>
        <v>Ter</v>
      </c>
      <c r="O251" s="112">
        <f t="shared" si="19"/>
        <v>4.166666666666663E-2</v>
      </c>
      <c r="P251" s="113" t="str">
        <f>IF(B251=_xlfn.XLOOKUP(B251,Feriados[FE Oficial],Feriados[FE Talvez],"",0),"",IF(B251&lt;$T$1,"",IF(Q251="Consulta","",IF(Q251="Compensado","",IF(N251="Sáb","",IF(S251&lt;&gt;"",(S251-R251)-(($AB$1-O251)-(D251-$Z$4)),IF(O251&gt;$AB$1,O251-$AB$1,IF(C251&gt;$Z$4,C251-$Z$4,IF(AND(N251="Sex",G251&lt;&gt;"",H251=""),$Z$3-G251,IF(AND(G251&lt;&gt;"",H251=""),$Z$3-G251,IF(AND(N251="Sex",H251&lt;$Y$3),$Z$3-H251,IF(AND(N251&lt;&gt;"Sex",H251&gt;$AA$8),"",IF(AND(N251="Sex",H251&gt;$Z$8),"",IF(AND(N251&lt;&gt;"Sex",I251&gt;$Z$8),$Z$8-H251,IF(AND(N251&lt;&gt;"Sex",H251&lt;$Y$8),$Z$8-H251,"")))))))))))))))</f>
        <v/>
      </c>
      <c r="Q251" s="33"/>
      <c r="R251" s="33"/>
      <c r="S251" s="33"/>
    </row>
    <row r="252" spans="1:19" x14ac:dyDescent="0.25">
      <c r="A252" s="116" t="s">
        <v>204</v>
      </c>
      <c r="B252" s="32">
        <v>43866</v>
      </c>
      <c r="C252" s="39">
        <f t="shared" si="15"/>
        <v>0.33333333333333331</v>
      </c>
      <c r="D252" s="33">
        <v>0.33333333333333331</v>
      </c>
      <c r="E252" s="33">
        <v>0.5</v>
      </c>
      <c r="F252" s="39">
        <f t="shared" si="16"/>
        <v>0.54166666666666663</v>
      </c>
      <c r="G252" s="33">
        <v>0.54166666666666663</v>
      </c>
      <c r="H252" s="33">
        <v>0.75</v>
      </c>
      <c r="I252" s="39">
        <f>IFERROR(IF(B252=VLOOKUP(B252,Feriados[],2,0),H252,IF(N252="Sáb",H252,IF(AND(B252&lt;$T$1,H252&lt;=$AA$3),$Z$3,IF(AND(N252="Sex",H252&gt;$AA$3),H252,IF(H252&lt;=$AA$3,$Z$3,IF(H252&lt;=$AA$8,$Z$8,H252)))))),IF(N252="Sáb",H252,IF(AND(B252&lt;$T$1,H252&lt;=$AA$3),$Z$3,IF(AND(N252="Sex",H252&gt;$AA$3),H252,IF(H252&lt;=$AA$3,$Z$3,IF(H252&lt;=$AA$8,$Z$8,H252))))))</f>
        <v>0.75</v>
      </c>
      <c r="J252" s="33">
        <f t="shared" si="17"/>
        <v>0.37500000000000006</v>
      </c>
      <c r="K252" s="33">
        <f>IFERROR(IF(H252="","",IF(B252=VLOOKUP(B252,Feriados[],2,0),(H252-D252)-(G252-E252),IF(D252&lt;=$Y$4,(I252-D252)-(G252-E252),(I252-C252)-(F252-E252)))),IF(AND(D252&lt;=$Y$4,F252-E252=$AB$1),(I252-D252)-(F252-E252),IF(D252&lt;$Y$4,(I252-D252)-(G252-E252),(I252-C252)-(F252-E252))))</f>
        <v>0.37500000000000006</v>
      </c>
      <c r="L252" s="40" t="str">
        <f>IF(B252=_xlfn.XLOOKUP(B252,Feriados[FE Oficial],Feriados[FE Talvez],"",0),"",IF(Q252="Compensado","",IF(AND(N252="Sex",D252&lt;$Y$4),($Z$4-D252)+$AB$1-(F252-E252)+(I252-$Z$3),IF(AND(N252="Sex",I252&gt;$Z$3),($AB$1-(F252-E252))+(I252-$Z$3),IF(AND(N252="Sex",E252&lt;&gt;"",D252&lt;$Y$4),($Z$4-D252)+$AB$1-(F252-E252)+(I252-$Z$3),IF(N252="Sáb",(I252-D252)-(G252-E252)-(S252-R252),IF(AND(B252&lt;$T$1,I252&gt;$Z$3),H252-$Z$3,IF(D252&lt;$Y$4,($Z$4-D252)+($AB$1-(F252-E252))+(I252-$Z$8)+(S252-R252),IF(AND(S252&lt;&gt;"",D252&gt;$Z$4),(S252-R252)-($AB$1-(F252-E252)),IF(AND(S252&lt;&gt;"",D252&lt;$Y$4),(S252-R252)-($AB$1-(F252-E252)+($Z$4-D252)),IF(I252&gt;$Z$8,($AB$1-(F252-E252))+(I252-$Z$8),IF(AND(N252="Sex",(F252-E252)&lt;($AB$1-$W$1)),($AB$1-(F252-E252)),IF(AND(O252&gt;($AB$1-$W$1),D252&gt;$Z$4),"",IF(AND(B252&gt;=$T$1,(F252-E252)&gt;($AB$1-$W$1)),"",IF(AND(D252&gt;=$Y$4,I252=$Z$8,S252=""),($AB$1-(F252-E252)),IF(AND(P252&lt;&gt;"",S252&lt;&gt;""),I252-$Z$8,IF(AND(P252&lt;&gt;"",D252&gt;$Y$4),$AB$1-(F252-E252),"")))))))))))))))))</f>
        <v/>
      </c>
      <c r="M252" s="107" t="str">
        <f>IFERROR(IF(H252="","",IF(B252=VLOOKUP(B252,Feriados[],2,0),(H252-D252)-(G252-E252),"")),"")</f>
        <v/>
      </c>
      <c r="N252" s="38" t="str">
        <f t="shared" si="18"/>
        <v>Ter</v>
      </c>
      <c r="O252" s="112">
        <f t="shared" si="19"/>
        <v>4.166666666666663E-2</v>
      </c>
      <c r="P252" s="113" t="str">
        <f>IF(B252=_xlfn.XLOOKUP(B252,Feriados[FE Oficial],Feriados[FE Talvez],"",0),"",IF(B252&lt;$T$1,"",IF(Q252="Consulta","",IF(Q252="Compensado","",IF(N252="Sáb","",IF(S252&lt;&gt;"",(S252-R252)-(($AB$1-O252)-(D252-$Z$4)),IF(O252&gt;$AB$1,O252-$AB$1,IF(C252&gt;$Z$4,C252-$Z$4,IF(AND(N252="Sex",G252&lt;&gt;"",H252=""),$Z$3-G252,IF(AND(G252&lt;&gt;"",H252=""),$Z$3-G252,IF(AND(N252="Sex",H252&lt;$Y$3),$Z$3-H252,IF(AND(N252&lt;&gt;"Sex",H252&gt;$AA$8),"",IF(AND(N252="Sex",H252&gt;$Z$8),"",IF(AND(N252&lt;&gt;"Sex",I252&gt;$Z$8),$Z$8-H252,IF(AND(N252&lt;&gt;"Sex",H252&lt;$Y$8),$Z$8-H252,"")))))))))))))))</f>
        <v/>
      </c>
      <c r="Q252" s="33"/>
      <c r="R252" s="33"/>
      <c r="S252" s="33"/>
    </row>
    <row r="253" spans="1:19" x14ac:dyDescent="0.25">
      <c r="A253" s="115" t="s">
        <v>191</v>
      </c>
      <c r="B253" s="32">
        <v>43867</v>
      </c>
      <c r="C253" s="39">
        <f t="shared" si="15"/>
        <v>0.33333333333333331</v>
      </c>
      <c r="D253" s="33">
        <v>0.33333333333333331</v>
      </c>
      <c r="E253" s="33">
        <v>0.5</v>
      </c>
      <c r="F253" s="39">
        <f t="shared" si="16"/>
        <v>0.54166666666666663</v>
      </c>
      <c r="G253" s="33">
        <v>0.54166666666666663</v>
      </c>
      <c r="H253" s="33">
        <v>0.75</v>
      </c>
      <c r="I253" s="39">
        <f>IFERROR(IF(B253=VLOOKUP(B253,Feriados[],2,0),H253,IF(N253="Sáb",H253,IF(AND(B253&lt;$T$1,H253&lt;=$AA$3),$Z$3,IF(AND(N253="Sex",H253&gt;$AA$3),H253,IF(H253&lt;=$AA$3,$Z$3,IF(H253&lt;=$AA$8,$Z$8,H253)))))),IF(N253="Sáb",H253,IF(AND(B253&lt;$T$1,H253&lt;=$AA$3),$Z$3,IF(AND(N253="Sex",H253&gt;$AA$3),H253,IF(H253&lt;=$AA$3,$Z$3,IF(H253&lt;=$AA$8,$Z$8,H253))))))</f>
        <v>0.75</v>
      </c>
      <c r="J253" s="33">
        <f t="shared" si="17"/>
        <v>0.37500000000000006</v>
      </c>
      <c r="K253" s="33">
        <f>IFERROR(IF(H253="","",IF(B253=VLOOKUP(B253,Feriados[],2,0),(H253-D253)-(G253-E253),IF(D253&lt;=$Y$4,(I253-D253)-(G253-E253),(I253-C253)-(F253-E253)))),IF(AND(D253&lt;=$Y$4,F253-E253=$AB$1),(I253-D253)-(F253-E253),IF(D253&lt;$Y$4,(I253-D253)-(G253-E253),(I253-C253)-(F253-E253))))</f>
        <v>0.37500000000000006</v>
      </c>
      <c r="L253" s="40" t="str">
        <f>IF(B253=_xlfn.XLOOKUP(B253,Feriados[FE Oficial],Feriados[FE Talvez],"",0),"",IF(Q253="Compensado","",IF(AND(N253="Sex",D253&lt;$Y$4),($Z$4-D253)+$AB$1-(F253-E253)+(I253-$Z$3),IF(AND(N253="Sex",I253&gt;$Z$3),($AB$1-(F253-E253))+(I253-$Z$3),IF(AND(N253="Sex",E253&lt;&gt;"",D253&lt;$Y$4),($Z$4-D253)+$AB$1-(F253-E253)+(I253-$Z$3),IF(N253="Sáb",(I253-D253)-(G253-E253)-(S253-R253),IF(AND(B253&lt;$T$1,I253&gt;$Z$3),H253-$Z$3,IF(D253&lt;$Y$4,($Z$4-D253)+($AB$1-(F253-E253))+(I253-$Z$8)+(S253-R253),IF(AND(S253&lt;&gt;"",D253&gt;$Z$4),(S253-R253)-($AB$1-(F253-E253)),IF(AND(S253&lt;&gt;"",D253&lt;$Y$4),(S253-R253)-($AB$1-(F253-E253)+($Z$4-D253)),IF(I253&gt;$Z$8,($AB$1-(F253-E253))+(I253-$Z$8),IF(AND(N253="Sex",(F253-E253)&lt;($AB$1-$W$1)),($AB$1-(F253-E253)),IF(AND(O253&gt;($AB$1-$W$1),D253&gt;$Z$4),"",IF(AND(B253&gt;=$T$1,(F253-E253)&gt;($AB$1-$W$1)),"",IF(AND(D253&gt;=$Y$4,I253=$Z$8,S253=""),($AB$1-(F253-E253)),IF(AND(P253&lt;&gt;"",S253&lt;&gt;""),I253-$Z$8,IF(AND(P253&lt;&gt;"",D253&gt;$Y$4),$AB$1-(F253-E253),"")))))))))))))))))</f>
        <v/>
      </c>
      <c r="M253" s="107" t="str">
        <f>IFERROR(IF(H253="","",IF(B253=VLOOKUP(B253,Feriados[],2,0),(H253-D253)-(G253-E253),"")),"")</f>
        <v/>
      </c>
      <c r="N253" s="38" t="str">
        <f t="shared" si="18"/>
        <v>Qua</v>
      </c>
      <c r="O253" s="112">
        <f t="shared" si="19"/>
        <v>4.166666666666663E-2</v>
      </c>
      <c r="P253" s="113" t="str">
        <f>IF(B253=_xlfn.XLOOKUP(B253,Feriados[FE Oficial],Feriados[FE Talvez],"",0),"",IF(B253&lt;$T$1,"",IF(Q253="Consulta","",IF(Q253="Compensado","",IF(N253="Sáb","",IF(S253&lt;&gt;"",(S253-R253)-(($AB$1-O253)-(D253-$Z$4)),IF(O253&gt;$AB$1,O253-$AB$1,IF(C253&gt;$Z$4,C253-$Z$4,IF(AND(N253="Sex",G253&lt;&gt;"",H253=""),$Z$3-G253,IF(AND(G253&lt;&gt;"",H253=""),$Z$3-G253,IF(AND(N253="Sex",H253&lt;$Y$3),$Z$3-H253,IF(AND(N253&lt;&gt;"Sex",H253&gt;$AA$8),"",IF(AND(N253="Sex",H253&gt;$Z$8),"",IF(AND(N253&lt;&gt;"Sex",I253&gt;$Z$8),$Z$8-H253,IF(AND(N253&lt;&gt;"Sex",H253&lt;$Y$8),$Z$8-H253,"")))))))))))))))</f>
        <v/>
      </c>
      <c r="Q253" s="33"/>
      <c r="R253" s="33"/>
      <c r="S253" s="33"/>
    </row>
    <row r="254" spans="1:19" x14ac:dyDescent="0.25">
      <c r="A254" s="115" t="s">
        <v>202</v>
      </c>
      <c r="B254" s="32">
        <v>43867</v>
      </c>
      <c r="C254" s="39">
        <f t="shared" si="15"/>
        <v>0.33333333333333331</v>
      </c>
      <c r="D254" s="33">
        <v>0.33333333333333331</v>
      </c>
      <c r="E254" s="33">
        <v>0.5</v>
      </c>
      <c r="F254" s="39">
        <f t="shared" si="16"/>
        <v>0.54166666666666663</v>
      </c>
      <c r="G254" s="33">
        <v>0.54166666666666663</v>
      </c>
      <c r="H254" s="33">
        <v>0.75</v>
      </c>
      <c r="I254" s="39">
        <f>IFERROR(IF(B254=VLOOKUP(B254,Feriados[],2,0),H254,IF(N254="Sáb",H254,IF(AND(B254&lt;$T$1,H254&lt;=$AA$3),$Z$3,IF(AND(N254="Sex",H254&gt;$AA$3),H254,IF(H254&lt;=$AA$3,$Z$3,IF(H254&lt;=$AA$8,$Z$8,H254)))))),IF(N254="Sáb",H254,IF(AND(B254&lt;$T$1,H254&lt;=$AA$3),$Z$3,IF(AND(N254="Sex",H254&gt;$AA$3),H254,IF(H254&lt;=$AA$3,$Z$3,IF(H254&lt;=$AA$8,$Z$8,H254))))))</f>
        <v>0.75</v>
      </c>
      <c r="J254" s="33">
        <f t="shared" si="17"/>
        <v>0.37500000000000006</v>
      </c>
      <c r="K254" s="33">
        <f>IFERROR(IF(H254="","",IF(B254=VLOOKUP(B254,Feriados[],2,0),(H254-D254)-(G254-E254),IF(D254&lt;=$Y$4,(I254-D254)-(G254-E254),(I254-C254)-(F254-E254)))),IF(AND(D254&lt;=$Y$4,F254-E254=$AB$1),(I254-D254)-(F254-E254),IF(D254&lt;$Y$4,(I254-D254)-(G254-E254),(I254-C254)-(F254-E254))))</f>
        <v>0.37500000000000006</v>
      </c>
      <c r="L254" s="40" t="str">
        <f>IF(B254=_xlfn.XLOOKUP(B254,Feriados[FE Oficial],Feriados[FE Talvez],"",0),"",IF(Q254="Compensado","",IF(AND(N254="Sex",D254&lt;$Y$4),($Z$4-D254)+$AB$1-(F254-E254)+(I254-$Z$3),IF(AND(N254="Sex",I254&gt;$Z$3),($AB$1-(F254-E254))+(I254-$Z$3),IF(AND(N254="Sex",E254&lt;&gt;"",D254&lt;$Y$4),($Z$4-D254)+$AB$1-(F254-E254)+(I254-$Z$3),IF(N254="Sáb",(I254-D254)-(G254-E254)-(S254-R254),IF(AND(B254&lt;$T$1,I254&gt;$Z$3),H254-$Z$3,IF(D254&lt;$Y$4,($Z$4-D254)+($AB$1-(F254-E254))+(I254-$Z$8)+(S254-R254),IF(AND(S254&lt;&gt;"",D254&gt;$Z$4),(S254-R254)-($AB$1-(F254-E254)),IF(AND(S254&lt;&gt;"",D254&lt;$Y$4),(S254-R254)-($AB$1-(F254-E254)+($Z$4-D254)),IF(I254&gt;$Z$8,($AB$1-(F254-E254))+(I254-$Z$8),IF(AND(N254="Sex",(F254-E254)&lt;($AB$1-$W$1)),($AB$1-(F254-E254)),IF(AND(O254&gt;($AB$1-$W$1),D254&gt;$Z$4),"",IF(AND(B254&gt;=$T$1,(F254-E254)&gt;($AB$1-$W$1)),"",IF(AND(D254&gt;=$Y$4,I254=$Z$8,S254=""),($AB$1-(F254-E254)),IF(AND(P254&lt;&gt;"",S254&lt;&gt;""),I254-$Z$8,IF(AND(P254&lt;&gt;"",D254&gt;$Y$4),$AB$1-(F254-E254),"")))))))))))))))))</f>
        <v/>
      </c>
      <c r="M254" s="107" t="str">
        <f>IFERROR(IF(H254="","",IF(B254=VLOOKUP(B254,Feriados[],2,0),(H254-D254)-(G254-E254),"")),"")</f>
        <v/>
      </c>
      <c r="N254" s="38" t="str">
        <f t="shared" si="18"/>
        <v>Qua</v>
      </c>
      <c r="O254" s="112">
        <f t="shared" si="19"/>
        <v>4.166666666666663E-2</v>
      </c>
      <c r="P254" s="113" t="str">
        <f>IF(B254=_xlfn.XLOOKUP(B254,Feriados[FE Oficial],Feriados[FE Talvez],"",0),"",IF(B254&lt;$T$1,"",IF(Q254="Consulta","",IF(Q254="Compensado","",IF(N254="Sáb","",IF(S254&lt;&gt;"",(S254-R254)-(($AB$1-O254)-(D254-$Z$4)),IF(O254&gt;$AB$1,O254-$AB$1,IF(C254&gt;$Z$4,C254-$Z$4,IF(AND(N254="Sex",G254&lt;&gt;"",H254=""),$Z$3-G254,IF(AND(G254&lt;&gt;"",H254=""),$Z$3-G254,IF(AND(N254="Sex",H254&lt;$Y$3),$Z$3-H254,IF(AND(N254&lt;&gt;"Sex",H254&gt;$AA$8),"",IF(AND(N254="Sex",H254&gt;$Z$8),"",IF(AND(N254&lt;&gt;"Sex",I254&gt;$Z$8),$Z$8-H254,IF(AND(N254&lt;&gt;"Sex",H254&lt;$Y$8),$Z$8-H254,"")))))))))))))))</f>
        <v/>
      </c>
      <c r="Q254" s="33"/>
      <c r="R254" s="33"/>
      <c r="S254" s="33"/>
    </row>
    <row r="255" spans="1:19" x14ac:dyDescent="0.25">
      <c r="A255" s="115" t="s">
        <v>203</v>
      </c>
      <c r="B255" s="32">
        <v>43867</v>
      </c>
      <c r="C255" s="39">
        <f t="shared" si="15"/>
        <v>0.33333333333333331</v>
      </c>
      <c r="D255" s="33">
        <v>0.33333333333333331</v>
      </c>
      <c r="E255" s="33">
        <v>0.5</v>
      </c>
      <c r="F255" s="39">
        <f t="shared" si="16"/>
        <v>0.54166666666666663</v>
      </c>
      <c r="G255" s="33">
        <v>0.54166666666666663</v>
      </c>
      <c r="H255" s="33">
        <v>0.75</v>
      </c>
      <c r="I255" s="39">
        <f>IFERROR(IF(B255=VLOOKUP(B255,Feriados[],2,0),H255,IF(N255="Sáb",H255,IF(AND(B255&lt;$T$1,H255&lt;=$AA$3),$Z$3,IF(AND(N255="Sex",H255&gt;$AA$3),H255,IF(H255&lt;=$AA$3,$Z$3,IF(H255&lt;=$AA$8,$Z$8,H255)))))),IF(N255="Sáb",H255,IF(AND(B255&lt;$T$1,H255&lt;=$AA$3),$Z$3,IF(AND(N255="Sex",H255&gt;$AA$3),H255,IF(H255&lt;=$AA$3,$Z$3,IF(H255&lt;=$AA$8,$Z$8,H255))))))</f>
        <v>0.75</v>
      </c>
      <c r="J255" s="33">
        <f t="shared" si="17"/>
        <v>0.37500000000000006</v>
      </c>
      <c r="K255" s="33">
        <f>IFERROR(IF(H255="","",IF(B255=VLOOKUP(B255,Feriados[],2,0),(H255-D255)-(G255-E255),IF(D255&lt;=$Y$4,(I255-D255)-(G255-E255),(I255-C255)-(F255-E255)))),IF(AND(D255&lt;=$Y$4,F255-E255=$AB$1),(I255-D255)-(F255-E255),IF(D255&lt;$Y$4,(I255-D255)-(G255-E255),(I255-C255)-(F255-E255))))</f>
        <v>0.37500000000000006</v>
      </c>
      <c r="L255" s="40" t="str">
        <f>IF(B255=_xlfn.XLOOKUP(B255,Feriados[FE Oficial],Feriados[FE Talvez],"",0),"",IF(Q255="Compensado","",IF(AND(N255="Sex",D255&lt;$Y$4),($Z$4-D255)+$AB$1-(F255-E255)+(I255-$Z$3),IF(AND(N255="Sex",I255&gt;$Z$3),($AB$1-(F255-E255))+(I255-$Z$3),IF(AND(N255="Sex",E255&lt;&gt;"",D255&lt;$Y$4),($Z$4-D255)+$AB$1-(F255-E255)+(I255-$Z$3),IF(N255="Sáb",(I255-D255)-(G255-E255)-(S255-R255),IF(AND(B255&lt;$T$1,I255&gt;$Z$3),H255-$Z$3,IF(D255&lt;$Y$4,($Z$4-D255)+($AB$1-(F255-E255))+(I255-$Z$8)+(S255-R255),IF(AND(S255&lt;&gt;"",D255&gt;$Z$4),(S255-R255)-($AB$1-(F255-E255)),IF(AND(S255&lt;&gt;"",D255&lt;$Y$4),(S255-R255)-($AB$1-(F255-E255)+($Z$4-D255)),IF(I255&gt;$Z$8,($AB$1-(F255-E255))+(I255-$Z$8),IF(AND(N255="Sex",(F255-E255)&lt;($AB$1-$W$1)),($AB$1-(F255-E255)),IF(AND(O255&gt;($AB$1-$W$1),D255&gt;$Z$4),"",IF(AND(B255&gt;=$T$1,(F255-E255)&gt;($AB$1-$W$1)),"",IF(AND(D255&gt;=$Y$4,I255=$Z$8,S255=""),($AB$1-(F255-E255)),IF(AND(P255&lt;&gt;"",S255&lt;&gt;""),I255-$Z$8,IF(AND(P255&lt;&gt;"",D255&gt;$Y$4),$AB$1-(F255-E255),"")))))))))))))))))</f>
        <v/>
      </c>
      <c r="M255" s="107" t="str">
        <f>IFERROR(IF(H255="","",IF(B255=VLOOKUP(B255,Feriados[],2,0),(H255-D255)-(G255-E255),"")),"")</f>
        <v/>
      </c>
      <c r="N255" s="38" t="str">
        <f t="shared" si="18"/>
        <v>Qua</v>
      </c>
      <c r="O255" s="112">
        <f t="shared" si="19"/>
        <v>4.166666666666663E-2</v>
      </c>
      <c r="P255" s="113" t="str">
        <f>IF(B255=_xlfn.XLOOKUP(B255,Feriados[FE Oficial],Feriados[FE Talvez],"",0),"",IF(B255&lt;$T$1,"",IF(Q255="Consulta","",IF(Q255="Compensado","",IF(N255="Sáb","",IF(S255&lt;&gt;"",(S255-R255)-(($AB$1-O255)-(D255-$Z$4)),IF(O255&gt;$AB$1,O255-$AB$1,IF(C255&gt;$Z$4,C255-$Z$4,IF(AND(N255="Sex",G255&lt;&gt;"",H255=""),$Z$3-G255,IF(AND(G255&lt;&gt;"",H255=""),$Z$3-G255,IF(AND(N255="Sex",H255&lt;$Y$3),$Z$3-H255,IF(AND(N255&lt;&gt;"Sex",H255&gt;$AA$8),"",IF(AND(N255="Sex",H255&gt;$Z$8),"",IF(AND(N255&lt;&gt;"Sex",I255&gt;$Z$8),$Z$8-H255,IF(AND(N255&lt;&gt;"Sex",H255&lt;$Y$8),$Z$8-H255,"")))))))))))))))</f>
        <v/>
      </c>
      <c r="Q255" s="33"/>
      <c r="R255" s="33"/>
      <c r="S255" s="33"/>
    </row>
    <row r="256" spans="1:19" x14ac:dyDescent="0.25">
      <c r="A256" s="115" t="s">
        <v>202</v>
      </c>
      <c r="B256" s="32">
        <v>43868</v>
      </c>
      <c r="C256" s="39">
        <f t="shared" si="15"/>
        <v>0.33333333333333331</v>
      </c>
      <c r="D256" s="33">
        <v>0.33333333333333331</v>
      </c>
      <c r="E256" s="33">
        <v>0.5</v>
      </c>
      <c r="F256" s="39">
        <f t="shared" si="16"/>
        <v>0.54166666666666663</v>
      </c>
      <c r="G256" s="33">
        <v>0.54166666666666663</v>
      </c>
      <c r="H256" s="33">
        <v>0.75</v>
      </c>
      <c r="I256" s="39">
        <f>IFERROR(IF(B256=VLOOKUP(B256,Feriados[],2,0),H256,IF(N256="Sáb",H256,IF(AND(B256&lt;$T$1,H256&lt;=$AA$3),$Z$3,IF(AND(N256="Sex",H256&gt;$AA$3),H256,IF(H256&lt;=$AA$3,$Z$3,IF(H256&lt;=$AA$8,$Z$8,H256)))))),IF(N256="Sáb",H256,IF(AND(B256&lt;$T$1,H256&lt;=$AA$3),$Z$3,IF(AND(N256="Sex",H256&gt;$AA$3),H256,IF(H256&lt;=$AA$3,$Z$3,IF(H256&lt;=$AA$8,$Z$8,H256))))))</f>
        <v>0.75</v>
      </c>
      <c r="J256" s="33">
        <f t="shared" si="17"/>
        <v>0.37500000000000006</v>
      </c>
      <c r="K256" s="33">
        <f>IFERROR(IF(H256="","",IF(B256=VLOOKUP(B256,Feriados[],2,0),(H256-D256)-(G256-E256),IF(D256&lt;=$Y$4,(I256-D256)-(G256-E256),(I256-C256)-(F256-E256)))),IF(AND(D256&lt;=$Y$4,F256-E256=$AB$1),(I256-D256)-(F256-E256),IF(D256&lt;$Y$4,(I256-D256)-(G256-E256),(I256-C256)-(F256-E256))))</f>
        <v>0.37500000000000006</v>
      </c>
      <c r="L256" s="40" t="str">
        <f>IF(B256=_xlfn.XLOOKUP(B256,Feriados[FE Oficial],Feriados[FE Talvez],"",0),"",IF(Q256="Compensado","",IF(AND(N256="Sex",D256&lt;$Y$4),($Z$4-D256)+$AB$1-(F256-E256)+(I256-$Z$3),IF(AND(N256="Sex",I256&gt;$Z$3),($AB$1-(F256-E256))+(I256-$Z$3),IF(AND(N256="Sex",E256&lt;&gt;"",D256&lt;$Y$4),($Z$4-D256)+$AB$1-(F256-E256)+(I256-$Z$3),IF(N256="Sáb",(I256-D256)-(G256-E256)-(S256-R256),IF(AND(B256&lt;$T$1,I256&gt;$Z$3),H256-$Z$3,IF(D256&lt;$Y$4,($Z$4-D256)+($AB$1-(F256-E256))+(I256-$Z$8)+(S256-R256),IF(AND(S256&lt;&gt;"",D256&gt;$Z$4),(S256-R256)-($AB$1-(F256-E256)),IF(AND(S256&lt;&gt;"",D256&lt;$Y$4),(S256-R256)-($AB$1-(F256-E256)+($Z$4-D256)),IF(I256&gt;$Z$8,($AB$1-(F256-E256))+(I256-$Z$8),IF(AND(N256="Sex",(F256-E256)&lt;($AB$1-$W$1)),($AB$1-(F256-E256)),IF(AND(O256&gt;($AB$1-$W$1),D256&gt;$Z$4),"",IF(AND(B256&gt;=$T$1,(F256-E256)&gt;($AB$1-$W$1)),"",IF(AND(D256&gt;=$Y$4,I256=$Z$8,S256=""),($AB$1-(F256-E256)),IF(AND(P256&lt;&gt;"",S256&lt;&gt;""),I256-$Z$8,IF(AND(P256&lt;&gt;"",D256&gt;$Y$4),$AB$1-(F256-E256),"")))))))))))))))))</f>
        <v/>
      </c>
      <c r="M256" s="107" t="str">
        <f>IFERROR(IF(H256="","",IF(B256=VLOOKUP(B256,Feriados[],2,0),(H256-D256)-(G256-E256),"")),"")</f>
        <v/>
      </c>
      <c r="N256" s="38" t="str">
        <f t="shared" si="18"/>
        <v>Qui</v>
      </c>
      <c r="O256" s="112">
        <f t="shared" si="19"/>
        <v>4.166666666666663E-2</v>
      </c>
      <c r="P256" s="113" t="str">
        <f>IF(B256=_xlfn.XLOOKUP(B256,Feriados[FE Oficial],Feriados[FE Talvez],"",0),"",IF(B256&lt;$T$1,"",IF(Q256="Consulta","",IF(Q256="Compensado","",IF(N256="Sáb","",IF(S256&lt;&gt;"",(S256-R256)-(($AB$1-O256)-(D256-$Z$4)),IF(O256&gt;$AB$1,O256-$AB$1,IF(C256&gt;$Z$4,C256-$Z$4,IF(AND(N256="Sex",G256&lt;&gt;"",H256=""),$Z$3-G256,IF(AND(G256&lt;&gt;"",H256=""),$Z$3-G256,IF(AND(N256="Sex",H256&lt;$Y$3),$Z$3-H256,IF(AND(N256&lt;&gt;"Sex",H256&gt;$AA$8),"",IF(AND(N256="Sex",H256&gt;$Z$8),"",IF(AND(N256&lt;&gt;"Sex",I256&gt;$Z$8),$Z$8-H256,IF(AND(N256&lt;&gt;"Sex",H256&lt;$Y$8),$Z$8-H256,"")))))))))))))))</f>
        <v/>
      </c>
      <c r="Q256" s="33"/>
      <c r="R256" s="33"/>
      <c r="S256" s="33"/>
    </row>
    <row r="257" spans="1:19" x14ac:dyDescent="0.25">
      <c r="A257" s="115" t="s">
        <v>203</v>
      </c>
      <c r="B257" s="32">
        <v>43868</v>
      </c>
      <c r="C257" s="39">
        <f t="shared" si="15"/>
        <v>0.33333333333333331</v>
      </c>
      <c r="D257" s="33">
        <v>0.33333333333333331</v>
      </c>
      <c r="E257" s="33">
        <v>0.5</v>
      </c>
      <c r="F257" s="39">
        <f t="shared" si="16"/>
        <v>0.54166666666666663</v>
      </c>
      <c r="G257" s="33">
        <v>0.54166666666666663</v>
      </c>
      <c r="H257" s="33">
        <v>0.75</v>
      </c>
      <c r="I257" s="39">
        <f>IFERROR(IF(B257=VLOOKUP(B257,Feriados[],2,0),H257,IF(N257="Sáb",H257,IF(AND(B257&lt;$T$1,H257&lt;=$AA$3),$Z$3,IF(AND(N257="Sex",H257&gt;$AA$3),H257,IF(H257&lt;=$AA$3,$Z$3,IF(H257&lt;=$AA$8,$Z$8,H257)))))),IF(N257="Sáb",H257,IF(AND(B257&lt;$T$1,H257&lt;=$AA$3),$Z$3,IF(AND(N257="Sex",H257&gt;$AA$3),H257,IF(H257&lt;=$AA$3,$Z$3,IF(H257&lt;=$AA$8,$Z$8,H257))))))</f>
        <v>0.75</v>
      </c>
      <c r="J257" s="33">
        <f t="shared" si="17"/>
        <v>0.37500000000000006</v>
      </c>
      <c r="K257" s="33">
        <f>IFERROR(IF(H257="","",IF(B257=VLOOKUP(B257,Feriados[],2,0),(H257-D257)-(G257-E257),IF(D257&lt;=$Y$4,(I257-D257)-(G257-E257),(I257-C257)-(F257-E257)))),IF(AND(D257&lt;=$Y$4,F257-E257=$AB$1),(I257-D257)-(F257-E257),IF(D257&lt;$Y$4,(I257-D257)-(G257-E257),(I257-C257)-(F257-E257))))</f>
        <v>0.37500000000000006</v>
      </c>
      <c r="L257" s="40" t="str">
        <f>IF(B257=_xlfn.XLOOKUP(B257,Feriados[FE Oficial],Feriados[FE Talvez],"",0),"",IF(Q257="Compensado","",IF(AND(N257="Sex",D257&lt;$Y$4),($Z$4-D257)+$AB$1-(F257-E257)+(I257-$Z$3),IF(AND(N257="Sex",I257&gt;$Z$3),($AB$1-(F257-E257))+(I257-$Z$3),IF(AND(N257="Sex",E257&lt;&gt;"",D257&lt;$Y$4),($Z$4-D257)+$AB$1-(F257-E257)+(I257-$Z$3),IF(N257="Sáb",(I257-D257)-(G257-E257)-(S257-R257),IF(AND(B257&lt;$T$1,I257&gt;$Z$3),H257-$Z$3,IF(D257&lt;$Y$4,($Z$4-D257)+($AB$1-(F257-E257))+(I257-$Z$8)+(S257-R257),IF(AND(S257&lt;&gt;"",D257&gt;$Z$4),(S257-R257)-($AB$1-(F257-E257)),IF(AND(S257&lt;&gt;"",D257&lt;$Y$4),(S257-R257)-($AB$1-(F257-E257)+($Z$4-D257)),IF(I257&gt;$Z$8,($AB$1-(F257-E257))+(I257-$Z$8),IF(AND(N257="Sex",(F257-E257)&lt;($AB$1-$W$1)),($AB$1-(F257-E257)),IF(AND(O257&gt;($AB$1-$W$1),D257&gt;$Z$4),"",IF(AND(B257&gt;=$T$1,(F257-E257)&gt;($AB$1-$W$1)),"",IF(AND(D257&gt;=$Y$4,I257=$Z$8,S257=""),($AB$1-(F257-E257)),IF(AND(P257&lt;&gt;"",S257&lt;&gt;""),I257-$Z$8,IF(AND(P257&lt;&gt;"",D257&gt;$Y$4),$AB$1-(F257-E257),"")))))))))))))))))</f>
        <v/>
      </c>
      <c r="M257" s="107" t="str">
        <f>IFERROR(IF(H257="","",IF(B257=VLOOKUP(B257,Feriados[],2,0),(H257-D257)-(G257-E257),"")),"")</f>
        <v/>
      </c>
      <c r="N257" s="38" t="str">
        <f t="shared" si="18"/>
        <v>Qui</v>
      </c>
      <c r="O257" s="112">
        <f t="shared" si="19"/>
        <v>4.166666666666663E-2</v>
      </c>
      <c r="P257" s="113" t="str">
        <f>IF(B257=_xlfn.XLOOKUP(B257,Feriados[FE Oficial],Feriados[FE Talvez],"",0),"",IF(B257&lt;$T$1,"",IF(Q257="Consulta","",IF(Q257="Compensado","",IF(N257="Sáb","",IF(S257&lt;&gt;"",(S257-R257)-(($AB$1-O257)-(D257-$Z$4)),IF(O257&gt;$AB$1,O257-$AB$1,IF(C257&gt;$Z$4,C257-$Z$4,IF(AND(N257="Sex",G257&lt;&gt;"",H257=""),$Z$3-G257,IF(AND(G257&lt;&gt;"",H257=""),$Z$3-G257,IF(AND(N257="Sex",H257&lt;$Y$3),$Z$3-H257,IF(AND(N257&lt;&gt;"Sex",H257&gt;$AA$8),"",IF(AND(N257="Sex",H257&gt;$Z$8),"",IF(AND(N257&lt;&gt;"Sex",I257&gt;$Z$8),$Z$8-H257,IF(AND(N257&lt;&gt;"Sex",H257&lt;$Y$8),$Z$8-H257,"")))))))))))))))</f>
        <v/>
      </c>
      <c r="Q257" s="33"/>
      <c r="R257" s="33"/>
      <c r="S257" s="33"/>
    </row>
    <row r="258" spans="1:19" x14ac:dyDescent="0.25">
      <c r="A258" s="115" t="s">
        <v>191</v>
      </c>
      <c r="B258" s="32">
        <v>43868</v>
      </c>
      <c r="C258" s="39">
        <f t="shared" ref="C258:C321" si="20">IF(D258="","",IF(D258&lt;=$Y$4,$Z$4,IF(D258&lt;=$AA$4,$Z$4,D258)))</f>
        <v>0.33333333333333331</v>
      </c>
      <c r="D258" s="33">
        <v>0.33333333333333331</v>
      </c>
      <c r="E258" s="33">
        <v>0.5</v>
      </c>
      <c r="F258" s="39">
        <f t="shared" ref="F258:F321" si="21">IF(G258-E258&lt;=$X$1,G258,E258+$AB$1)</f>
        <v>0.54166666666666663</v>
      </c>
      <c r="G258" s="33">
        <v>0.54166666666666663</v>
      </c>
      <c r="H258" s="33">
        <v>0.75</v>
      </c>
      <c r="I258" s="39">
        <f>IFERROR(IF(B258=VLOOKUP(B258,Feriados[],2,0),H258,IF(N258="Sáb",H258,IF(AND(B258&lt;$T$1,H258&lt;=$AA$3),$Z$3,IF(AND(N258="Sex",H258&gt;$AA$3),H258,IF(H258&lt;=$AA$3,$Z$3,IF(H258&lt;=$AA$8,$Z$8,H258)))))),IF(N258="Sáb",H258,IF(AND(B258&lt;$T$1,H258&lt;=$AA$3),$Z$3,IF(AND(N258="Sex",H258&gt;$AA$3),H258,IF(H258&lt;=$AA$3,$Z$3,IF(H258&lt;=$AA$8,$Z$8,H258))))))</f>
        <v>0.75</v>
      </c>
      <c r="J258" s="33">
        <f t="shared" ref="J258:J321" si="22">IF((H258-D258)-(G258-E258)&lt;$AB$1,"",IF(AND(B258&lt;$T$1,(H258-D258)-(G258-E258)&gt;$Y$2),$Y$2,IF(AND(N258="Sex",(H258-D258)-(G258-E258)&gt;$Y$2),$Y$2,IF((H258-D258)-(G258-E258)&gt;$X$2,$X$2,(H258-D258)-(G258-E258)))))</f>
        <v>0.37500000000000006</v>
      </c>
      <c r="K258" s="33">
        <f>IFERROR(IF(H258="","",IF(B258=VLOOKUP(B258,Feriados[],2,0),(H258-D258)-(G258-E258),IF(D258&lt;=$Y$4,(I258-D258)-(G258-E258),(I258-C258)-(F258-E258)))),IF(AND(D258&lt;=$Y$4,F258-E258=$AB$1),(I258-D258)-(F258-E258),IF(D258&lt;$Y$4,(I258-D258)-(G258-E258),(I258-C258)-(F258-E258))))</f>
        <v>0.37500000000000006</v>
      </c>
      <c r="L258" s="40" t="str">
        <f>IF(B258=_xlfn.XLOOKUP(B258,Feriados[FE Oficial],Feriados[FE Talvez],"",0),"",IF(Q258="Compensado","",IF(AND(N258="Sex",D258&lt;$Y$4),($Z$4-D258)+$AB$1-(F258-E258)+(I258-$Z$3),IF(AND(N258="Sex",I258&gt;$Z$3),($AB$1-(F258-E258))+(I258-$Z$3),IF(AND(N258="Sex",E258&lt;&gt;"",D258&lt;$Y$4),($Z$4-D258)+$AB$1-(F258-E258)+(I258-$Z$3),IF(N258="Sáb",(I258-D258)-(G258-E258)-(S258-R258),IF(AND(B258&lt;$T$1,I258&gt;$Z$3),H258-$Z$3,IF(D258&lt;$Y$4,($Z$4-D258)+($AB$1-(F258-E258))+(I258-$Z$8)+(S258-R258),IF(AND(S258&lt;&gt;"",D258&gt;$Z$4),(S258-R258)-($AB$1-(F258-E258)),IF(AND(S258&lt;&gt;"",D258&lt;$Y$4),(S258-R258)-($AB$1-(F258-E258)+($Z$4-D258)),IF(I258&gt;$Z$8,($AB$1-(F258-E258))+(I258-$Z$8),IF(AND(N258="Sex",(F258-E258)&lt;($AB$1-$W$1)),($AB$1-(F258-E258)),IF(AND(O258&gt;($AB$1-$W$1),D258&gt;$Z$4),"",IF(AND(B258&gt;=$T$1,(F258-E258)&gt;($AB$1-$W$1)),"",IF(AND(D258&gt;=$Y$4,I258=$Z$8,S258=""),($AB$1-(F258-E258)),IF(AND(P258&lt;&gt;"",S258&lt;&gt;""),I258-$Z$8,IF(AND(P258&lt;&gt;"",D258&gt;$Y$4),$AB$1-(F258-E258),"")))))))))))))))))</f>
        <v/>
      </c>
      <c r="M258" s="107" t="str">
        <f>IFERROR(IF(H258="","",IF(B258=VLOOKUP(B258,Feriados[],2,0),(H258-D258)-(G258-E258),"")),"")</f>
        <v/>
      </c>
      <c r="N258" s="38" t="str">
        <f t="shared" ref="N258:N321" si="23">PROPER(TEXT(B258,"DDD"))</f>
        <v>Qui</v>
      </c>
      <c r="O258" s="112">
        <f t="shared" ref="O258:O321" si="24">G258-E258</f>
        <v>4.166666666666663E-2</v>
      </c>
      <c r="P258" s="113" t="str">
        <f>IF(B258=_xlfn.XLOOKUP(B258,Feriados[FE Oficial],Feriados[FE Talvez],"",0),"",IF(B258&lt;$T$1,"",IF(Q258="Consulta","",IF(Q258="Compensado","",IF(N258="Sáb","",IF(S258&lt;&gt;"",(S258-R258)-(($AB$1-O258)-(D258-$Z$4)),IF(O258&gt;$AB$1,O258-$AB$1,IF(C258&gt;$Z$4,C258-$Z$4,IF(AND(N258="Sex",G258&lt;&gt;"",H258=""),$Z$3-G258,IF(AND(G258&lt;&gt;"",H258=""),$Z$3-G258,IF(AND(N258="Sex",H258&lt;$Y$3),$Z$3-H258,IF(AND(N258&lt;&gt;"Sex",H258&gt;$AA$8),"",IF(AND(N258="Sex",H258&gt;$Z$8),"",IF(AND(N258&lt;&gt;"Sex",I258&gt;$Z$8),$Z$8-H258,IF(AND(N258&lt;&gt;"Sex",H258&lt;$Y$8),$Z$8-H258,"")))))))))))))))</f>
        <v/>
      </c>
      <c r="Q258" s="33"/>
      <c r="R258" s="33"/>
      <c r="S258" s="33"/>
    </row>
    <row r="259" spans="1:19" x14ac:dyDescent="0.25">
      <c r="A259" s="115" t="s">
        <v>191</v>
      </c>
      <c r="B259" s="32">
        <v>43869</v>
      </c>
      <c r="C259" s="39">
        <f t="shared" si="20"/>
        <v>0.33333333333333331</v>
      </c>
      <c r="D259" s="33">
        <v>0.33333333333333331</v>
      </c>
      <c r="E259" s="33">
        <v>0.5</v>
      </c>
      <c r="F259" s="39">
        <f t="shared" si="21"/>
        <v>0.54166666666666663</v>
      </c>
      <c r="G259" s="33">
        <v>0.54166666666666663</v>
      </c>
      <c r="H259" s="33">
        <v>0.70833333333333337</v>
      </c>
      <c r="I259" s="39">
        <f>IFERROR(IF(B259=VLOOKUP(B259,Feriados[],2,0),H259,IF(N259="Sáb",H259,IF(AND(B259&lt;$T$1,H259&lt;=$AA$3),$Z$3,IF(AND(N259="Sex",H259&gt;$AA$3),H259,IF(H259&lt;=$AA$3,$Z$3,IF(H259&lt;=$AA$8,$Z$8,H259)))))),IF(N259="Sáb",H259,IF(AND(B259&lt;$T$1,H259&lt;=$AA$3),$Z$3,IF(AND(N259="Sex",H259&gt;$AA$3),H259,IF(H259&lt;=$AA$3,$Z$3,IF(H259&lt;=$AA$8,$Z$8,H259))))))</f>
        <v>0.70833333333333337</v>
      </c>
      <c r="J259" s="33">
        <f t="shared" si="22"/>
        <v>0.33333333333333343</v>
      </c>
      <c r="K259" s="33">
        <f>IFERROR(IF(H259="","",IF(B259=VLOOKUP(B259,Feriados[],2,0),(H259-D259)-(G259-E259),IF(D259&lt;=$Y$4,(I259-D259)-(G259-E259),(I259-C259)-(F259-E259)))),IF(AND(D259&lt;=$Y$4,F259-E259=$AB$1),(I259-D259)-(F259-E259),IF(D259&lt;$Y$4,(I259-D259)-(G259-E259),(I259-C259)-(F259-E259))))</f>
        <v>0.33333333333333343</v>
      </c>
      <c r="L259" s="40" t="str">
        <f>IF(B259=_xlfn.XLOOKUP(B259,Feriados[FE Oficial],Feriados[FE Talvez],"",0),"",IF(Q259="Compensado","",IF(AND(N259="Sex",D259&lt;$Y$4),($Z$4-D259)+$AB$1-(F259-E259)+(I259-$Z$3),IF(AND(N259="Sex",I259&gt;$Z$3),($AB$1-(F259-E259))+(I259-$Z$3),IF(AND(N259="Sex",E259&lt;&gt;"",D259&lt;$Y$4),($Z$4-D259)+$AB$1-(F259-E259)+(I259-$Z$3),IF(N259="Sáb",(I259-D259)-(G259-E259)-(S259-R259),IF(AND(B259&lt;$T$1,I259&gt;$Z$3),H259-$Z$3,IF(D259&lt;$Y$4,($Z$4-D259)+($AB$1-(F259-E259))+(I259-$Z$8)+(S259-R259),IF(AND(S259&lt;&gt;"",D259&gt;$Z$4),(S259-R259)-($AB$1-(F259-E259)),IF(AND(S259&lt;&gt;"",D259&lt;$Y$4),(S259-R259)-($AB$1-(F259-E259)+($Z$4-D259)),IF(I259&gt;$Z$8,($AB$1-(F259-E259))+(I259-$Z$8),IF(AND(N259="Sex",(F259-E259)&lt;($AB$1-$W$1)),($AB$1-(F259-E259)),IF(AND(O259&gt;($AB$1-$W$1),D259&gt;$Z$4),"",IF(AND(B259&gt;=$T$1,(F259-E259)&gt;($AB$1-$W$1)),"",IF(AND(D259&gt;=$Y$4,I259=$Z$8,S259=""),($AB$1-(F259-E259)),IF(AND(P259&lt;&gt;"",S259&lt;&gt;""),I259-$Z$8,IF(AND(P259&lt;&gt;"",D259&gt;$Y$4),$AB$1-(F259-E259),"")))))))))))))))))</f>
        <v/>
      </c>
      <c r="M259" s="107" t="str">
        <f>IFERROR(IF(H259="","",IF(B259=VLOOKUP(B259,Feriados[],2,0),(H259-D259)-(G259-E259),"")),"")</f>
        <v/>
      </c>
      <c r="N259" s="38" t="str">
        <f t="shared" si="23"/>
        <v>Sex</v>
      </c>
      <c r="O259" s="112">
        <f t="shared" si="24"/>
        <v>4.166666666666663E-2</v>
      </c>
      <c r="P259" s="113" t="str">
        <f>IF(B259=_xlfn.XLOOKUP(B259,Feriados[FE Oficial],Feriados[FE Talvez],"",0),"",IF(B259&lt;$T$1,"",IF(Q259="Consulta","",IF(Q259="Compensado","",IF(N259="Sáb","",IF(S259&lt;&gt;"",(S259-R259)-(($AB$1-O259)-(D259-$Z$4)),IF(O259&gt;$AB$1,O259-$AB$1,IF(C259&gt;$Z$4,C259-$Z$4,IF(AND(N259="Sex",G259&lt;&gt;"",H259=""),$Z$3-G259,IF(AND(G259&lt;&gt;"",H259=""),$Z$3-G259,IF(AND(N259="Sex",H259&lt;$Y$3),$Z$3-H259,IF(AND(N259&lt;&gt;"Sex",H259&gt;$AA$8),"",IF(AND(N259="Sex",H259&gt;$Z$8),"",IF(AND(N259&lt;&gt;"Sex",I259&gt;$Z$8),$Z$8-H259,IF(AND(N259&lt;&gt;"Sex",H259&lt;$Y$8),$Z$8-H259,"")))))))))))))))</f>
        <v/>
      </c>
      <c r="Q259" s="33"/>
      <c r="R259" s="33"/>
      <c r="S259" s="33"/>
    </row>
    <row r="260" spans="1:19" x14ac:dyDescent="0.25">
      <c r="A260" s="115" t="s">
        <v>203</v>
      </c>
      <c r="B260" s="32">
        <v>43869</v>
      </c>
      <c r="C260" s="39">
        <f t="shared" si="20"/>
        <v>0.33333333333333331</v>
      </c>
      <c r="D260" s="33">
        <v>0.33333333333333331</v>
      </c>
      <c r="E260" s="33">
        <v>0.5</v>
      </c>
      <c r="F260" s="39">
        <f t="shared" si="21"/>
        <v>0.54166666666666663</v>
      </c>
      <c r="G260" s="33">
        <v>0.54166666666666663</v>
      </c>
      <c r="H260" s="33">
        <v>0.70833333333333337</v>
      </c>
      <c r="I260" s="39">
        <f>IFERROR(IF(B260=VLOOKUP(B260,Feriados[],2,0),H260,IF(N260="Sáb",H260,IF(AND(B260&lt;$T$1,H260&lt;=$AA$3),$Z$3,IF(AND(N260="Sex",H260&gt;$AA$3),H260,IF(H260&lt;=$AA$3,$Z$3,IF(H260&lt;=$AA$8,$Z$8,H260)))))),IF(N260="Sáb",H260,IF(AND(B260&lt;$T$1,H260&lt;=$AA$3),$Z$3,IF(AND(N260="Sex",H260&gt;$AA$3),H260,IF(H260&lt;=$AA$3,$Z$3,IF(H260&lt;=$AA$8,$Z$8,H260))))))</f>
        <v>0.70833333333333337</v>
      </c>
      <c r="J260" s="33">
        <f t="shared" si="22"/>
        <v>0.33333333333333343</v>
      </c>
      <c r="K260" s="33">
        <f>IFERROR(IF(H260="","",IF(B260=VLOOKUP(B260,Feriados[],2,0),(H260-D260)-(G260-E260),IF(D260&lt;=$Y$4,(I260-D260)-(G260-E260),(I260-C260)-(F260-E260)))),IF(AND(D260&lt;=$Y$4,F260-E260=$AB$1),(I260-D260)-(F260-E260),IF(D260&lt;$Y$4,(I260-D260)-(G260-E260),(I260-C260)-(F260-E260))))</f>
        <v>0.33333333333333343</v>
      </c>
      <c r="L260" s="40" t="str">
        <f>IF(B260=_xlfn.XLOOKUP(B260,Feriados[FE Oficial],Feriados[FE Talvez],"",0),"",IF(Q260="Compensado","",IF(AND(N260="Sex",D260&lt;$Y$4),($Z$4-D260)+$AB$1-(F260-E260)+(I260-$Z$3),IF(AND(N260="Sex",I260&gt;$Z$3),($AB$1-(F260-E260))+(I260-$Z$3),IF(AND(N260="Sex",E260&lt;&gt;"",D260&lt;$Y$4),($Z$4-D260)+$AB$1-(F260-E260)+(I260-$Z$3),IF(N260="Sáb",(I260-D260)-(G260-E260)-(S260-R260),IF(AND(B260&lt;$T$1,I260&gt;$Z$3),H260-$Z$3,IF(D260&lt;$Y$4,($Z$4-D260)+($AB$1-(F260-E260))+(I260-$Z$8)+(S260-R260),IF(AND(S260&lt;&gt;"",D260&gt;$Z$4),(S260-R260)-($AB$1-(F260-E260)),IF(AND(S260&lt;&gt;"",D260&lt;$Y$4),(S260-R260)-($AB$1-(F260-E260)+($Z$4-D260)),IF(I260&gt;$Z$8,($AB$1-(F260-E260))+(I260-$Z$8),IF(AND(N260="Sex",(F260-E260)&lt;($AB$1-$W$1)),($AB$1-(F260-E260)),IF(AND(O260&gt;($AB$1-$W$1),D260&gt;$Z$4),"",IF(AND(B260&gt;=$T$1,(F260-E260)&gt;($AB$1-$W$1)),"",IF(AND(D260&gt;=$Y$4,I260=$Z$8,S260=""),($AB$1-(F260-E260)),IF(AND(P260&lt;&gt;"",S260&lt;&gt;""),I260-$Z$8,IF(AND(P260&lt;&gt;"",D260&gt;$Y$4),$AB$1-(F260-E260),"")))))))))))))))))</f>
        <v/>
      </c>
      <c r="M260" s="107" t="str">
        <f>IFERROR(IF(H260="","",IF(B260=VLOOKUP(B260,Feriados[],2,0),(H260-D260)-(G260-E260),"")),"")</f>
        <v/>
      </c>
      <c r="N260" s="38" t="str">
        <f t="shared" si="23"/>
        <v>Sex</v>
      </c>
      <c r="O260" s="112">
        <f t="shared" si="24"/>
        <v>4.166666666666663E-2</v>
      </c>
      <c r="P260" s="113" t="str">
        <f>IF(B260=_xlfn.XLOOKUP(B260,Feriados[FE Oficial],Feriados[FE Talvez],"",0),"",IF(B260&lt;$T$1,"",IF(Q260="Consulta","",IF(Q260="Compensado","",IF(N260="Sáb","",IF(S260&lt;&gt;"",(S260-R260)-(($AB$1-O260)-(D260-$Z$4)),IF(O260&gt;$AB$1,O260-$AB$1,IF(C260&gt;$Z$4,C260-$Z$4,IF(AND(N260="Sex",G260&lt;&gt;"",H260=""),$Z$3-G260,IF(AND(G260&lt;&gt;"",H260=""),$Z$3-G260,IF(AND(N260="Sex",H260&lt;$Y$3),$Z$3-H260,IF(AND(N260&lt;&gt;"Sex",H260&gt;$AA$8),"",IF(AND(N260="Sex",H260&gt;$Z$8),"",IF(AND(N260&lt;&gt;"Sex",I260&gt;$Z$8),$Z$8-H260,IF(AND(N260&lt;&gt;"Sex",H260&lt;$Y$8),$Z$8-H260,"")))))))))))))))</f>
        <v/>
      </c>
      <c r="Q260" s="33"/>
      <c r="R260" s="33"/>
      <c r="S260" s="33"/>
    </row>
    <row r="261" spans="1:19" x14ac:dyDescent="0.25">
      <c r="A261" s="116" t="s">
        <v>204</v>
      </c>
      <c r="B261" s="32">
        <v>43869</v>
      </c>
      <c r="C261" s="39">
        <f t="shared" si="20"/>
        <v>0.33333333333333331</v>
      </c>
      <c r="D261" s="33">
        <v>0.33333333333333331</v>
      </c>
      <c r="E261" s="33">
        <v>0.5</v>
      </c>
      <c r="F261" s="39">
        <f t="shared" si="21"/>
        <v>0.54166666666666663</v>
      </c>
      <c r="G261" s="33">
        <v>0.54166666666666663</v>
      </c>
      <c r="H261" s="33">
        <v>0.70833333333333337</v>
      </c>
      <c r="I261" s="39">
        <f>IFERROR(IF(B261=VLOOKUP(B261,Feriados[],2,0),H261,IF(N261="Sáb",H261,IF(AND(B261&lt;$T$1,H261&lt;=$AA$3),$Z$3,IF(AND(N261="Sex",H261&gt;$AA$3),H261,IF(H261&lt;=$AA$3,$Z$3,IF(H261&lt;=$AA$8,$Z$8,H261)))))),IF(N261="Sáb",H261,IF(AND(B261&lt;$T$1,H261&lt;=$AA$3),$Z$3,IF(AND(N261="Sex",H261&gt;$AA$3),H261,IF(H261&lt;=$AA$3,$Z$3,IF(H261&lt;=$AA$8,$Z$8,H261))))))</f>
        <v>0.70833333333333337</v>
      </c>
      <c r="J261" s="33">
        <f t="shared" si="22"/>
        <v>0.33333333333333343</v>
      </c>
      <c r="K261" s="33">
        <f>IFERROR(IF(H261="","",IF(B261=VLOOKUP(B261,Feriados[],2,0),(H261-D261)-(G261-E261),IF(D261&lt;=$Y$4,(I261-D261)-(G261-E261),(I261-C261)-(F261-E261)))),IF(AND(D261&lt;=$Y$4,F261-E261=$AB$1),(I261-D261)-(F261-E261),IF(D261&lt;$Y$4,(I261-D261)-(G261-E261),(I261-C261)-(F261-E261))))</f>
        <v>0.33333333333333343</v>
      </c>
      <c r="L261" s="40" t="str">
        <f>IF(B261=_xlfn.XLOOKUP(B261,Feriados[FE Oficial],Feriados[FE Talvez],"",0),"",IF(Q261="Compensado","",IF(AND(N261="Sex",D261&lt;$Y$4),($Z$4-D261)+$AB$1-(F261-E261)+(I261-$Z$3),IF(AND(N261="Sex",I261&gt;$Z$3),($AB$1-(F261-E261))+(I261-$Z$3),IF(AND(N261="Sex",E261&lt;&gt;"",D261&lt;$Y$4),($Z$4-D261)+$AB$1-(F261-E261)+(I261-$Z$3),IF(N261="Sáb",(I261-D261)-(G261-E261)-(S261-R261),IF(AND(B261&lt;$T$1,I261&gt;$Z$3),H261-$Z$3,IF(D261&lt;$Y$4,($Z$4-D261)+($AB$1-(F261-E261))+(I261-$Z$8)+(S261-R261),IF(AND(S261&lt;&gt;"",D261&gt;$Z$4),(S261-R261)-($AB$1-(F261-E261)),IF(AND(S261&lt;&gt;"",D261&lt;$Y$4),(S261-R261)-($AB$1-(F261-E261)+($Z$4-D261)),IF(I261&gt;$Z$8,($AB$1-(F261-E261))+(I261-$Z$8),IF(AND(N261="Sex",(F261-E261)&lt;($AB$1-$W$1)),($AB$1-(F261-E261)),IF(AND(O261&gt;($AB$1-$W$1),D261&gt;$Z$4),"",IF(AND(B261&gt;=$T$1,(F261-E261)&gt;($AB$1-$W$1)),"",IF(AND(D261&gt;=$Y$4,I261=$Z$8,S261=""),($AB$1-(F261-E261)),IF(AND(P261&lt;&gt;"",S261&lt;&gt;""),I261-$Z$8,IF(AND(P261&lt;&gt;"",D261&gt;$Y$4),$AB$1-(F261-E261),"")))))))))))))))))</f>
        <v/>
      </c>
      <c r="M261" s="107" t="str">
        <f>IFERROR(IF(H261="","",IF(B261=VLOOKUP(B261,Feriados[],2,0),(H261-D261)-(G261-E261),"")),"")</f>
        <v/>
      </c>
      <c r="N261" s="38" t="str">
        <f t="shared" si="23"/>
        <v>Sex</v>
      </c>
      <c r="O261" s="112">
        <f t="shared" si="24"/>
        <v>4.166666666666663E-2</v>
      </c>
      <c r="P261" s="113" t="str">
        <f>IF(B261=_xlfn.XLOOKUP(B261,Feriados[FE Oficial],Feriados[FE Talvez],"",0),"",IF(B261&lt;$T$1,"",IF(Q261="Consulta","",IF(Q261="Compensado","",IF(N261="Sáb","",IF(S261&lt;&gt;"",(S261-R261)-(($AB$1-O261)-(D261-$Z$4)),IF(O261&gt;$AB$1,O261-$AB$1,IF(C261&gt;$Z$4,C261-$Z$4,IF(AND(N261="Sex",G261&lt;&gt;"",H261=""),$Z$3-G261,IF(AND(G261&lt;&gt;"",H261=""),$Z$3-G261,IF(AND(N261="Sex",H261&lt;$Y$3),$Z$3-H261,IF(AND(N261&lt;&gt;"Sex",H261&gt;$AA$8),"",IF(AND(N261="Sex",H261&gt;$Z$8),"",IF(AND(N261&lt;&gt;"Sex",I261&gt;$Z$8),$Z$8-H261,IF(AND(N261&lt;&gt;"Sex",H261&lt;$Y$8),$Z$8-H261,"")))))))))))))))</f>
        <v/>
      </c>
      <c r="Q261" s="33"/>
      <c r="R261" s="33"/>
      <c r="S261" s="33"/>
    </row>
    <row r="262" spans="1:19" x14ac:dyDescent="0.25">
      <c r="A262" s="115" t="s">
        <v>204</v>
      </c>
      <c r="B262" s="32">
        <v>43870</v>
      </c>
      <c r="C262" s="39">
        <f t="shared" si="20"/>
        <v>0.33333333333333331</v>
      </c>
      <c r="D262" s="33">
        <v>0.33333333333333331</v>
      </c>
      <c r="E262" s="33">
        <v>0.5</v>
      </c>
      <c r="F262" s="39">
        <f t="shared" si="21"/>
        <v>0.54166666666666663</v>
      </c>
      <c r="G262" s="33">
        <v>0.54166666666666663</v>
      </c>
      <c r="H262" s="33">
        <v>0.66666666666666663</v>
      </c>
      <c r="I262" s="39">
        <f>IFERROR(IF(B262=VLOOKUP(B262,Feriados[],2,0),H262,IF(N262="Sáb",H262,IF(AND(B262&lt;$T$1,H262&lt;=$AA$3),$Z$3,IF(AND(N262="Sex",H262&gt;$AA$3),H262,IF(H262&lt;=$AA$3,$Z$3,IF(H262&lt;=$AA$8,$Z$8,H262)))))),IF(N262="Sáb",H262,IF(AND(B262&lt;$T$1,H262&lt;=$AA$3),$Z$3,IF(AND(N262="Sex",H262&gt;$AA$3),H262,IF(H262&lt;=$AA$3,$Z$3,IF(H262&lt;=$AA$8,$Z$8,H262))))))</f>
        <v>0.66666666666666663</v>
      </c>
      <c r="J262" s="33">
        <f t="shared" si="22"/>
        <v>0.29166666666666669</v>
      </c>
      <c r="K262" s="33">
        <f>IFERROR(IF(H262="","",IF(B262=VLOOKUP(B262,Feriados[],2,0),(H262-D262)-(G262-E262),IF(D262&lt;=$Y$4,(I262-D262)-(G262-E262),(I262-C262)-(F262-E262)))),IF(AND(D262&lt;=$Y$4,F262-E262=$AB$1),(I262-D262)-(F262-E262),IF(D262&lt;$Y$4,(I262-D262)-(G262-E262),(I262-C262)-(F262-E262))))</f>
        <v>0.29166666666666669</v>
      </c>
      <c r="L262" s="40">
        <f>IF(B262=_xlfn.XLOOKUP(B262,Feriados[FE Oficial],Feriados[FE Talvez],"",0),"",IF(Q262="Compensado","",IF(AND(N262="Sex",D262&lt;$Y$4),($Z$4-D262)+$AB$1-(F262-E262)+(I262-$Z$3),IF(AND(N262="Sex",I262&gt;$Z$3),($AB$1-(F262-E262))+(I262-$Z$3),IF(AND(N262="Sex",E262&lt;&gt;"",D262&lt;$Y$4),($Z$4-D262)+$AB$1-(F262-E262)+(I262-$Z$3),IF(N262="Sáb",(I262-D262)-(G262-E262)-(S262-R262),IF(AND(B262&lt;$T$1,I262&gt;$Z$3),H262-$Z$3,IF(D262&lt;$Y$4,($Z$4-D262)+($AB$1-(F262-E262))+(I262-$Z$8)+(S262-R262),IF(AND(S262&lt;&gt;"",D262&gt;$Z$4),(S262-R262)-($AB$1-(F262-E262)),IF(AND(S262&lt;&gt;"",D262&lt;$Y$4),(S262-R262)-($AB$1-(F262-E262)+($Z$4-D262)),IF(I262&gt;$Z$8,($AB$1-(F262-E262))+(I262-$Z$8),IF(AND(N262="Sex",(F262-E262)&lt;($AB$1-$W$1)),($AB$1-(F262-E262)),IF(AND(O262&gt;($AB$1-$W$1),D262&gt;$Z$4),"",IF(AND(B262&gt;=$T$1,(F262-E262)&gt;($AB$1-$W$1)),"",IF(AND(D262&gt;=$Y$4,I262=$Z$8,S262=""),($AB$1-(F262-E262)),IF(AND(P262&lt;&gt;"",S262&lt;&gt;""),I262-$Z$8,IF(AND(P262&lt;&gt;"",D262&gt;$Y$4),$AB$1-(F262-E262),"")))))))))))))))))</f>
        <v>0.29166666666666669</v>
      </c>
      <c r="M262" s="107" t="str">
        <f>IFERROR(IF(H262="","",IF(B262=VLOOKUP(B262,Feriados[],2,0),(H262-D262)-(G262-E262),"")),"")</f>
        <v/>
      </c>
      <c r="N262" s="38" t="str">
        <f t="shared" si="23"/>
        <v>Sáb</v>
      </c>
      <c r="O262" s="112">
        <f t="shared" si="24"/>
        <v>4.166666666666663E-2</v>
      </c>
      <c r="P262" s="113" t="str">
        <f>IF(B262=_xlfn.XLOOKUP(B262,Feriados[FE Oficial],Feriados[FE Talvez],"",0),"",IF(B262&lt;$T$1,"",IF(Q262="Consulta","",IF(Q262="Compensado","",IF(N262="Sáb","",IF(S262&lt;&gt;"",(S262-R262)-(($AB$1-O262)-(D262-$Z$4)),IF(O262&gt;$AB$1,O262-$AB$1,IF(C262&gt;$Z$4,C262-$Z$4,IF(AND(N262="Sex",G262&lt;&gt;"",H262=""),$Z$3-G262,IF(AND(G262&lt;&gt;"",H262=""),$Z$3-G262,IF(AND(N262="Sex",H262&lt;$Y$3),$Z$3-H262,IF(AND(N262&lt;&gt;"Sex",H262&gt;$AA$8),"",IF(AND(N262="Sex",H262&gt;$Z$8),"",IF(AND(N262&lt;&gt;"Sex",I262&gt;$Z$8),$Z$8-H262,IF(AND(N262&lt;&gt;"Sex",H262&lt;$Y$8),$Z$8-H262,"")))))))))))))))</f>
        <v/>
      </c>
      <c r="Q262" s="33"/>
      <c r="R262" s="33"/>
      <c r="S262" s="33"/>
    </row>
    <row r="263" spans="1:19" x14ac:dyDescent="0.25">
      <c r="A263" s="115" t="s">
        <v>202</v>
      </c>
      <c r="B263" s="32">
        <v>43870</v>
      </c>
      <c r="C263" s="39">
        <f t="shared" si="20"/>
        <v>0.33333333333333331</v>
      </c>
      <c r="D263" s="33">
        <v>0.33333333333333331</v>
      </c>
      <c r="E263" s="33">
        <v>0.5</v>
      </c>
      <c r="F263" s="39">
        <f t="shared" si="21"/>
        <v>0.54166666666666663</v>
      </c>
      <c r="G263" s="33">
        <v>0.54166666666666663</v>
      </c>
      <c r="H263" s="33">
        <v>0.66666666666666663</v>
      </c>
      <c r="I263" s="39">
        <f>IFERROR(IF(B263=VLOOKUP(B263,Feriados[],2,0),H263,IF(N263="Sáb",H263,IF(AND(B263&lt;$T$1,H263&lt;=$AA$3),$Z$3,IF(AND(N263="Sex",H263&gt;$AA$3),H263,IF(H263&lt;=$AA$3,$Z$3,IF(H263&lt;=$AA$8,$Z$8,H263)))))),IF(N263="Sáb",H263,IF(AND(B263&lt;$T$1,H263&lt;=$AA$3),$Z$3,IF(AND(N263="Sex",H263&gt;$AA$3),H263,IF(H263&lt;=$AA$3,$Z$3,IF(H263&lt;=$AA$8,$Z$8,H263))))))</f>
        <v>0.66666666666666663</v>
      </c>
      <c r="J263" s="33">
        <f t="shared" si="22"/>
        <v>0.29166666666666669</v>
      </c>
      <c r="K263" s="33">
        <f>IFERROR(IF(H263="","",IF(B263=VLOOKUP(B263,Feriados[],2,0),(H263-D263)-(G263-E263),IF(D263&lt;=$Y$4,(I263-D263)-(G263-E263),(I263-C263)-(F263-E263)))),IF(AND(D263&lt;=$Y$4,F263-E263=$AB$1),(I263-D263)-(F263-E263),IF(D263&lt;$Y$4,(I263-D263)-(G263-E263),(I263-C263)-(F263-E263))))</f>
        <v>0.29166666666666669</v>
      </c>
      <c r="L263" s="40">
        <f>IF(B263=_xlfn.XLOOKUP(B263,Feriados[FE Oficial],Feriados[FE Talvez],"",0),"",IF(Q263="Compensado","",IF(AND(N263="Sex",D263&lt;$Y$4),($Z$4-D263)+$AB$1-(F263-E263)+(I263-$Z$3),IF(AND(N263="Sex",I263&gt;$Z$3),($AB$1-(F263-E263))+(I263-$Z$3),IF(AND(N263="Sex",E263&lt;&gt;"",D263&lt;$Y$4),($Z$4-D263)+$AB$1-(F263-E263)+(I263-$Z$3),IF(N263="Sáb",(I263-D263)-(G263-E263)-(S263-R263),IF(AND(B263&lt;$T$1,I263&gt;$Z$3),H263-$Z$3,IF(D263&lt;$Y$4,($Z$4-D263)+($AB$1-(F263-E263))+(I263-$Z$8)+(S263-R263),IF(AND(S263&lt;&gt;"",D263&gt;$Z$4),(S263-R263)-($AB$1-(F263-E263)),IF(AND(S263&lt;&gt;"",D263&lt;$Y$4),(S263-R263)-($AB$1-(F263-E263)+($Z$4-D263)),IF(I263&gt;$Z$8,($AB$1-(F263-E263))+(I263-$Z$8),IF(AND(N263="Sex",(F263-E263)&lt;($AB$1-$W$1)),($AB$1-(F263-E263)),IF(AND(O263&gt;($AB$1-$W$1),D263&gt;$Z$4),"",IF(AND(B263&gt;=$T$1,(F263-E263)&gt;($AB$1-$W$1)),"",IF(AND(D263&gt;=$Y$4,I263=$Z$8,S263=""),($AB$1-(F263-E263)),IF(AND(P263&lt;&gt;"",S263&lt;&gt;""),I263-$Z$8,IF(AND(P263&lt;&gt;"",D263&gt;$Y$4),$AB$1-(F263-E263),"")))))))))))))))))</f>
        <v>0.29166666666666669</v>
      </c>
      <c r="M263" s="107" t="str">
        <f>IFERROR(IF(H263="","",IF(B263=VLOOKUP(B263,Feriados[],2,0),(H263-D263)-(G263-E263),"")),"")</f>
        <v/>
      </c>
      <c r="N263" s="38" t="str">
        <f t="shared" si="23"/>
        <v>Sáb</v>
      </c>
      <c r="O263" s="112">
        <f t="shared" si="24"/>
        <v>4.166666666666663E-2</v>
      </c>
      <c r="P263" s="113" t="str">
        <f>IF(B263=_xlfn.XLOOKUP(B263,Feriados[FE Oficial],Feriados[FE Talvez],"",0),"",IF(B263&lt;$T$1,"",IF(Q263="Consulta","",IF(Q263="Compensado","",IF(N263="Sáb","",IF(S263&lt;&gt;"",(S263-R263)-(($AB$1-O263)-(D263-$Z$4)),IF(O263&gt;$AB$1,O263-$AB$1,IF(C263&gt;$Z$4,C263-$Z$4,IF(AND(N263="Sex",G263&lt;&gt;"",H263=""),$Z$3-G263,IF(AND(G263&lt;&gt;"",H263=""),$Z$3-G263,IF(AND(N263="Sex",H263&lt;$Y$3),$Z$3-H263,IF(AND(N263&lt;&gt;"Sex",H263&gt;$AA$8),"",IF(AND(N263="Sex",H263&gt;$Z$8),"",IF(AND(N263&lt;&gt;"Sex",I263&gt;$Z$8),$Z$8-H263,IF(AND(N263&lt;&gt;"Sex",H263&lt;$Y$8),$Z$8-H263,"")))))))))))))))</f>
        <v/>
      </c>
      <c r="Q263" s="33"/>
      <c r="R263" s="33"/>
      <c r="S263" s="33"/>
    </row>
    <row r="264" spans="1:19" x14ac:dyDescent="0.25">
      <c r="A264" s="115" t="s">
        <v>203</v>
      </c>
      <c r="B264" s="32">
        <v>43870</v>
      </c>
      <c r="C264" s="39">
        <f t="shared" si="20"/>
        <v>0.33333333333333331</v>
      </c>
      <c r="D264" s="33">
        <v>0.33333333333333331</v>
      </c>
      <c r="E264" s="33">
        <v>0.5</v>
      </c>
      <c r="F264" s="39">
        <f t="shared" si="21"/>
        <v>0.54166666666666663</v>
      </c>
      <c r="G264" s="33">
        <v>0.54166666666666663</v>
      </c>
      <c r="H264" s="33">
        <v>0.66666666666666663</v>
      </c>
      <c r="I264" s="39">
        <f>IFERROR(IF(B264=VLOOKUP(B264,Feriados[],2,0),H264,IF(N264="Sáb",H264,IF(AND(B264&lt;$T$1,H264&lt;=$AA$3),$Z$3,IF(AND(N264="Sex",H264&gt;$AA$3),H264,IF(H264&lt;=$AA$3,$Z$3,IF(H264&lt;=$AA$8,$Z$8,H264)))))),IF(N264="Sáb",H264,IF(AND(B264&lt;$T$1,H264&lt;=$AA$3),$Z$3,IF(AND(N264="Sex",H264&gt;$AA$3),H264,IF(H264&lt;=$AA$3,$Z$3,IF(H264&lt;=$AA$8,$Z$8,H264))))))</f>
        <v>0.66666666666666663</v>
      </c>
      <c r="J264" s="33">
        <f t="shared" si="22"/>
        <v>0.29166666666666669</v>
      </c>
      <c r="K264" s="33">
        <f>IFERROR(IF(H264="","",IF(B264=VLOOKUP(B264,Feriados[],2,0),(H264-D264)-(G264-E264),IF(D264&lt;=$Y$4,(I264-D264)-(G264-E264),(I264-C264)-(F264-E264)))),IF(AND(D264&lt;=$Y$4,F264-E264=$AB$1),(I264-D264)-(F264-E264),IF(D264&lt;$Y$4,(I264-D264)-(G264-E264),(I264-C264)-(F264-E264))))</f>
        <v>0.29166666666666669</v>
      </c>
      <c r="L264" s="40">
        <f>IF(B264=_xlfn.XLOOKUP(B264,Feriados[FE Oficial],Feriados[FE Talvez],"",0),"",IF(Q264="Compensado","",IF(AND(N264="Sex",D264&lt;$Y$4),($Z$4-D264)+$AB$1-(F264-E264)+(I264-$Z$3),IF(AND(N264="Sex",I264&gt;$Z$3),($AB$1-(F264-E264))+(I264-$Z$3),IF(AND(N264="Sex",E264&lt;&gt;"",D264&lt;$Y$4),($Z$4-D264)+$AB$1-(F264-E264)+(I264-$Z$3),IF(N264="Sáb",(I264-D264)-(G264-E264)-(S264-R264),IF(AND(B264&lt;$T$1,I264&gt;$Z$3),H264-$Z$3,IF(D264&lt;$Y$4,($Z$4-D264)+($AB$1-(F264-E264))+(I264-$Z$8)+(S264-R264),IF(AND(S264&lt;&gt;"",D264&gt;$Z$4),(S264-R264)-($AB$1-(F264-E264)),IF(AND(S264&lt;&gt;"",D264&lt;$Y$4),(S264-R264)-($AB$1-(F264-E264)+($Z$4-D264)),IF(I264&gt;$Z$8,($AB$1-(F264-E264))+(I264-$Z$8),IF(AND(N264="Sex",(F264-E264)&lt;($AB$1-$W$1)),($AB$1-(F264-E264)),IF(AND(O264&gt;($AB$1-$W$1),D264&gt;$Z$4),"",IF(AND(B264&gt;=$T$1,(F264-E264)&gt;($AB$1-$W$1)),"",IF(AND(D264&gt;=$Y$4,I264=$Z$8,S264=""),($AB$1-(F264-E264)),IF(AND(P264&lt;&gt;"",S264&lt;&gt;""),I264-$Z$8,IF(AND(P264&lt;&gt;"",D264&gt;$Y$4),$AB$1-(F264-E264),"")))))))))))))))))</f>
        <v>0.29166666666666669</v>
      </c>
      <c r="M264" s="107" t="str">
        <f>IFERROR(IF(H264="","",IF(B264=VLOOKUP(B264,Feriados[],2,0),(H264-D264)-(G264-E264),"")),"")</f>
        <v/>
      </c>
      <c r="N264" s="38" t="str">
        <f t="shared" si="23"/>
        <v>Sáb</v>
      </c>
      <c r="O264" s="112">
        <f t="shared" si="24"/>
        <v>4.166666666666663E-2</v>
      </c>
      <c r="P264" s="113" t="str">
        <f>IF(B264=_xlfn.XLOOKUP(B264,Feriados[FE Oficial],Feriados[FE Talvez],"",0),"",IF(B264&lt;$T$1,"",IF(Q264="Consulta","",IF(Q264="Compensado","",IF(N264="Sáb","",IF(S264&lt;&gt;"",(S264-R264)-(($AB$1-O264)-(D264-$Z$4)),IF(O264&gt;$AB$1,O264-$AB$1,IF(C264&gt;$Z$4,C264-$Z$4,IF(AND(N264="Sex",G264&lt;&gt;"",H264=""),$Z$3-G264,IF(AND(G264&lt;&gt;"",H264=""),$Z$3-G264,IF(AND(N264="Sex",H264&lt;$Y$3),$Z$3-H264,IF(AND(N264&lt;&gt;"Sex",H264&gt;$AA$8),"",IF(AND(N264="Sex",H264&gt;$Z$8),"",IF(AND(N264&lt;&gt;"Sex",I264&gt;$Z$8),$Z$8-H264,IF(AND(N264&lt;&gt;"Sex",H264&lt;$Y$8),$Z$8-H264,"")))))))))))))))</f>
        <v/>
      </c>
      <c r="Q264" s="33"/>
      <c r="R264" s="33"/>
      <c r="S264" s="33"/>
    </row>
    <row r="265" spans="1:19" x14ac:dyDescent="0.25">
      <c r="A265" s="115" t="s">
        <v>202</v>
      </c>
      <c r="B265" s="32">
        <v>43872</v>
      </c>
      <c r="C265" s="39">
        <f t="shared" si="20"/>
        <v>0.33333333333333331</v>
      </c>
      <c r="D265" s="33">
        <v>0.33333333333333331</v>
      </c>
      <c r="E265" s="33">
        <v>0.5</v>
      </c>
      <c r="F265" s="39">
        <f t="shared" si="21"/>
        <v>0.54166666666666663</v>
      </c>
      <c r="G265" s="33">
        <v>0.54166666666666663</v>
      </c>
      <c r="H265" s="33">
        <v>0.75</v>
      </c>
      <c r="I265" s="39">
        <f>IFERROR(IF(B265=VLOOKUP(B265,Feriados[],2,0),H265,IF(N265="Sáb",H265,IF(AND(B265&lt;$T$1,H265&lt;=$AA$3),$Z$3,IF(AND(N265="Sex",H265&gt;$AA$3),H265,IF(H265&lt;=$AA$3,$Z$3,IF(H265&lt;=$AA$8,$Z$8,H265)))))),IF(N265="Sáb",H265,IF(AND(B265&lt;$T$1,H265&lt;=$AA$3),$Z$3,IF(AND(N265="Sex",H265&gt;$AA$3),H265,IF(H265&lt;=$AA$3,$Z$3,IF(H265&lt;=$AA$8,$Z$8,H265))))))</f>
        <v>0.75</v>
      </c>
      <c r="J265" s="33">
        <f t="shared" si="22"/>
        <v>0.37500000000000006</v>
      </c>
      <c r="K265" s="33">
        <f>IFERROR(IF(H265="","",IF(B265=VLOOKUP(B265,Feriados[],2,0),(H265-D265)-(G265-E265),IF(D265&lt;=$Y$4,(I265-D265)-(G265-E265),(I265-C265)-(F265-E265)))),IF(AND(D265&lt;=$Y$4,F265-E265=$AB$1),(I265-D265)-(F265-E265),IF(D265&lt;$Y$4,(I265-D265)-(G265-E265),(I265-C265)-(F265-E265))))</f>
        <v>0.37500000000000006</v>
      </c>
      <c r="L265" s="40" t="str">
        <f>IF(B265=_xlfn.XLOOKUP(B265,Feriados[FE Oficial],Feriados[FE Talvez],"",0),"",IF(Q265="Compensado","",IF(AND(N265="Sex",D265&lt;$Y$4),($Z$4-D265)+$AB$1-(F265-E265)+(I265-$Z$3),IF(AND(N265="Sex",I265&gt;$Z$3),($AB$1-(F265-E265))+(I265-$Z$3),IF(AND(N265="Sex",E265&lt;&gt;"",D265&lt;$Y$4),($Z$4-D265)+$AB$1-(F265-E265)+(I265-$Z$3),IF(N265="Sáb",(I265-D265)-(G265-E265)-(S265-R265),IF(AND(B265&lt;$T$1,I265&gt;$Z$3),H265-$Z$3,IF(D265&lt;$Y$4,($Z$4-D265)+($AB$1-(F265-E265))+(I265-$Z$8)+(S265-R265),IF(AND(S265&lt;&gt;"",D265&gt;$Z$4),(S265-R265)-($AB$1-(F265-E265)),IF(AND(S265&lt;&gt;"",D265&lt;$Y$4),(S265-R265)-($AB$1-(F265-E265)+($Z$4-D265)),IF(I265&gt;$Z$8,($AB$1-(F265-E265))+(I265-$Z$8),IF(AND(N265="Sex",(F265-E265)&lt;($AB$1-$W$1)),($AB$1-(F265-E265)),IF(AND(O265&gt;($AB$1-$W$1),D265&gt;$Z$4),"",IF(AND(B265&gt;=$T$1,(F265-E265)&gt;($AB$1-$W$1)),"",IF(AND(D265&gt;=$Y$4,I265=$Z$8,S265=""),($AB$1-(F265-E265)),IF(AND(P265&lt;&gt;"",S265&lt;&gt;""),I265-$Z$8,IF(AND(P265&lt;&gt;"",D265&gt;$Y$4),$AB$1-(F265-E265),"")))))))))))))))))</f>
        <v/>
      </c>
      <c r="M265" s="107" t="str">
        <f>IFERROR(IF(H265="","",IF(B265=VLOOKUP(B265,Feriados[],2,0),(H265-D265)-(G265-E265),"")),"")</f>
        <v/>
      </c>
      <c r="N265" s="38" t="str">
        <f t="shared" si="23"/>
        <v>Seg</v>
      </c>
      <c r="O265" s="112">
        <f t="shared" si="24"/>
        <v>4.166666666666663E-2</v>
      </c>
      <c r="P265" s="113" t="str">
        <f>IF(B265=_xlfn.XLOOKUP(B265,Feriados[FE Oficial],Feriados[FE Talvez],"",0),"",IF(B265&lt;$T$1,"",IF(Q265="Consulta","",IF(Q265="Compensado","",IF(N265="Sáb","",IF(S265&lt;&gt;"",(S265-R265)-(($AB$1-O265)-(D265-$Z$4)),IF(O265&gt;$AB$1,O265-$AB$1,IF(C265&gt;$Z$4,C265-$Z$4,IF(AND(N265="Sex",G265&lt;&gt;"",H265=""),$Z$3-G265,IF(AND(G265&lt;&gt;"",H265=""),$Z$3-G265,IF(AND(N265="Sex",H265&lt;$Y$3),$Z$3-H265,IF(AND(N265&lt;&gt;"Sex",H265&gt;$AA$8),"",IF(AND(N265="Sex",H265&gt;$Z$8),"",IF(AND(N265&lt;&gt;"Sex",I265&gt;$Z$8),$Z$8-H265,IF(AND(N265&lt;&gt;"Sex",H265&lt;$Y$8),$Z$8-H265,"")))))))))))))))</f>
        <v/>
      </c>
      <c r="Q265" s="33"/>
      <c r="R265" s="33"/>
      <c r="S265" s="33"/>
    </row>
    <row r="266" spans="1:19" x14ac:dyDescent="0.25">
      <c r="A266" s="115" t="s">
        <v>203</v>
      </c>
      <c r="B266" s="32">
        <v>43872</v>
      </c>
      <c r="C266" s="39">
        <f t="shared" si="20"/>
        <v>0.33333333333333331</v>
      </c>
      <c r="D266" s="33">
        <v>0.33333333333333331</v>
      </c>
      <c r="E266" s="33">
        <v>0.5</v>
      </c>
      <c r="F266" s="39">
        <f t="shared" si="21"/>
        <v>0.54166666666666663</v>
      </c>
      <c r="G266" s="33">
        <v>0.54166666666666663</v>
      </c>
      <c r="H266" s="33">
        <v>0.75</v>
      </c>
      <c r="I266" s="39">
        <f>IFERROR(IF(B266=VLOOKUP(B266,Feriados[],2,0),H266,IF(N266="Sáb",H266,IF(AND(B266&lt;$T$1,H266&lt;=$AA$3),$Z$3,IF(AND(N266="Sex",H266&gt;$AA$3),H266,IF(H266&lt;=$AA$3,$Z$3,IF(H266&lt;=$AA$8,$Z$8,H266)))))),IF(N266="Sáb",H266,IF(AND(B266&lt;$T$1,H266&lt;=$AA$3),$Z$3,IF(AND(N266="Sex",H266&gt;$AA$3),H266,IF(H266&lt;=$AA$3,$Z$3,IF(H266&lt;=$AA$8,$Z$8,H266))))))</f>
        <v>0.75</v>
      </c>
      <c r="J266" s="33">
        <f t="shared" si="22"/>
        <v>0.37500000000000006</v>
      </c>
      <c r="K266" s="33">
        <f>IFERROR(IF(H266="","",IF(B266=VLOOKUP(B266,Feriados[],2,0),(H266-D266)-(G266-E266),IF(D266&lt;=$Y$4,(I266-D266)-(G266-E266),(I266-C266)-(F266-E266)))),IF(AND(D266&lt;=$Y$4,F266-E266=$AB$1),(I266-D266)-(F266-E266),IF(D266&lt;$Y$4,(I266-D266)-(G266-E266),(I266-C266)-(F266-E266))))</f>
        <v>0.37500000000000006</v>
      </c>
      <c r="L266" s="40" t="str">
        <f>IF(B266=_xlfn.XLOOKUP(B266,Feriados[FE Oficial],Feriados[FE Talvez],"",0),"",IF(Q266="Compensado","",IF(AND(N266="Sex",D266&lt;$Y$4),($Z$4-D266)+$AB$1-(F266-E266)+(I266-$Z$3),IF(AND(N266="Sex",I266&gt;$Z$3),($AB$1-(F266-E266))+(I266-$Z$3),IF(AND(N266="Sex",E266&lt;&gt;"",D266&lt;$Y$4),($Z$4-D266)+$AB$1-(F266-E266)+(I266-$Z$3),IF(N266="Sáb",(I266-D266)-(G266-E266)-(S266-R266),IF(AND(B266&lt;$T$1,I266&gt;$Z$3),H266-$Z$3,IF(D266&lt;$Y$4,($Z$4-D266)+($AB$1-(F266-E266))+(I266-$Z$8)+(S266-R266),IF(AND(S266&lt;&gt;"",D266&gt;$Z$4),(S266-R266)-($AB$1-(F266-E266)),IF(AND(S266&lt;&gt;"",D266&lt;$Y$4),(S266-R266)-($AB$1-(F266-E266)+($Z$4-D266)),IF(I266&gt;$Z$8,($AB$1-(F266-E266))+(I266-$Z$8),IF(AND(N266="Sex",(F266-E266)&lt;($AB$1-$W$1)),($AB$1-(F266-E266)),IF(AND(O266&gt;($AB$1-$W$1),D266&gt;$Z$4),"",IF(AND(B266&gt;=$T$1,(F266-E266)&gt;($AB$1-$W$1)),"",IF(AND(D266&gt;=$Y$4,I266=$Z$8,S266=""),($AB$1-(F266-E266)),IF(AND(P266&lt;&gt;"",S266&lt;&gt;""),I266-$Z$8,IF(AND(P266&lt;&gt;"",D266&gt;$Y$4),$AB$1-(F266-E266),"")))))))))))))))))</f>
        <v/>
      </c>
      <c r="M266" s="107" t="str">
        <f>IFERROR(IF(H266="","",IF(B266=VLOOKUP(B266,Feriados[],2,0),(H266-D266)-(G266-E266),"")),"")</f>
        <v/>
      </c>
      <c r="N266" s="38" t="str">
        <f t="shared" si="23"/>
        <v>Seg</v>
      </c>
      <c r="O266" s="112">
        <f t="shared" si="24"/>
        <v>4.166666666666663E-2</v>
      </c>
      <c r="P266" s="113" t="str">
        <f>IF(B266=_xlfn.XLOOKUP(B266,Feriados[FE Oficial],Feriados[FE Talvez],"",0),"",IF(B266&lt;$T$1,"",IF(Q266="Consulta","",IF(Q266="Compensado","",IF(N266="Sáb","",IF(S266&lt;&gt;"",(S266-R266)-(($AB$1-O266)-(D266-$Z$4)),IF(O266&gt;$AB$1,O266-$AB$1,IF(C266&gt;$Z$4,C266-$Z$4,IF(AND(N266="Sex",G266&lt;&gt;"",H266=""),$Z$3-G266,IF(AND(G266&lt;&gt;"",H266=""),$Z$3-G266,IF(AND(N266="Sex",H266&lt;$Y$3),$Z$3-H266,IF(AND(N266&lt;&gt;"Sex",H266&gt;$AA$8),"",IF(AND(N266="Sex",H266&gt;$Z$8),"",IF(AND(N266&lt;&gt;"Sex",I266&gt;$Z$8),$Z$8-H266,IF(AND(N266&lt;&gt;"Sex",H266&lt;$Y$8),$Z$8-H266,"")))))))))))))))</f>
        <v/>
      </c>
      <c r="Q266" s="33"/>
      <c r="R266" s="33"/>
      <c r="S266" s="33"/>
    </row>
    <row r="267" spans="1:19" x14ac:dyDescent="0.25">
      <c r="A267" s="116" t="s">
        <v>191</v>
      </c>
      <c r="B267" s="32">
        <v>43875</v>
      </c>
      <c r="C267" s="39">
        <f t="shared" si="20"/>
        <v>0.33333333333333331</v>
      </c>
      <c r="D267" s="33">
        <v>0.32500000000000001</v>
      </c>
      <c r="E267" s="33">
        <v>0.5</v>
      </c>
      <c r="F267" s="39">
        <f t="shared" si="21"/>
        <v>0.54166666666666663</v>
      </c>
      <c r="G267" s="33">
        <v>0.54166666666666663</v>
      </c>
      <c r="H267" s="33">
        <v>0.75</v>
      </c>
      <c r="I267" s="39">
        <f>IFERROR(IF(B267=VLOOKUP(B267,Feriados[],2,0),H267,IF(N267="Sáb",H267,IF(AND(B267&lt;$T$1,H267&lt;=$AA$3),$Z$3,IF(AND(N267="Sex",H267&gt;$AA$3),H267,IF(H267&lt;=$AA$3,$Z$3,IF(H267&lt;=$AA$8,$Z$8,H267)))))),IF(N267="Sáb",H267,IF(AND(B267&lt;$T$1,H267&lt;=$AA$3),$Z$3,IF(AND(N267="Sex",H267&gt;$AA$3),H267,IF(H267&lt;=$AA$3,$Z$3,IF(H267&lt;=$AA$8,$Z$8,H267))))))</f>
        <v>0.75</v>
      </c>
      <c r="J267" s="33">
        <f t="shared" si="22"/>
        <v>0.375</v>
      </c>
      <c r="K267" s="33">
        <f>IFERROR(IF(H267="","",IF(B267=VLOOKUP(B267,Feriados[],2,0),(H267-D267)-(G267-E267),IF(D267&lt;=$Y$4,(I267-D267)-(G267-E267),(I267-C267)-(F267-E267)))),IF(AND(D267&lt;=$Y$4,F267-E267=$AB$1),(I267-D267)-(F267-E267),IF(D267&lt;$Y$4,(I267-D267)-(G267-E267),(I267-C267)-(F267-E267))))</f>
        <v>0.38333333333333336</v>
      </c>
      <c r="L267" s="40">
        <f>IF(B267=_xlfn.XLOOKUP(B267,Feriados[FE Oficial],Feriados[FE Talvez],"",0),"",IF(Q267="Compensado","",IF(AND(N267="Sex",D267&lt;$Y$4),($Z$4-D267)+$AB$1-(F267-E267)+(I267-$Z$3),IF(AND(N267="Sex",I267&gt;$Z$3),($AB$1-(F267-E267))+(I267-$Z$3),IF(AND(N267="Sex",E267&lt;&gt;"",D267&lt;$Y$4),($Z$4-D267)+$AB$1-(F267-E267)+(I267-$Z$3),IF(N267="Sáb",(I267-D267)-(G267-E267)-(S267-R267),IF(AND(B267&lt;$T$1,I267&gt;$Z$3),H267-$Z$3,IF(D267&lt;$Y$4,($Z$4-D267)+($AB$1-(F267-E267))+(I267-$Z$8)+(S267-R267),IF(AND(S267&lt;&gt;"",D267&gt;$Z$4),(S267-R267)-($AB$1-(F267-E267)),IF(AND(S267&lt;&gt;"",D267&lt;$Y$4),(S267-R267)-($AB$1-(F267-E267)+($Z$4-D267)),IF(I267&gt;$Z$8,($AB$1-(F267-E267))+(I267-$Z$8),IF(AND(N267="Sex",(F267-E267)&lt;($AB$1-$W$1)),($AB$1-(F267-E267)),IF(AND(O267&gt;($AB$1-$W$1),D267&gt;$Z$4),"",IF(AND(B267&gt;=$T$1,(F267-E267)&gt;($AB$1-$W$1)),"",IF(AND(D267&gt;=$Y$4,I267=$Z$8,S267=""),($AB$1-(F267-E267)),IF(AND(P267&lt;&gt;"",S267&lt;&gt;""),I267-$Z$8,IF(AND(P267&lt;&gt;"",D267&gt;$Y$4),$AB$1-(F267-E267),"")))))))))))))))))</f>
        <v>8.3333333333333384E-3</v>
      </c>
      <c r="M267" s="107" t="str">
        <f>IFERROR(IF(H267="","",IF(B267=VLOOKUP(B267,Feriados[],2,0),(H267-D267)-(G267-E267),"")),"")</f>
        <v/>
      </c>
      <c r="N267" s="38" t="str">
        <f t="shared" si="23"/>
        <v>Qui</v>
      </c>
      <c r="O267" s="112">
        <f t="shared" si="24"/>
        <v>4.166666666666663E-2</v>
      </c>
      <c r="P267" s="113" t="str">
        <f>IF(B267=_xlfn.XLOOKUP(B267,Feriados[FE Oficial],Feriados[FE Talvez],"",0),"",IF(B267&lt;$T$1,"",IF(Q267="Consulta","",IF(Q267="Compensado","",IF(N267="Sáb","",IF(S267&lt;&gt;"",(S267-R267)-(($AB$1-O267)-(D267-$Z$4)),IF(O267&gt;$AB$1,O267-$AB$1,IF(C267&gt;$Z$4,C267-$Z$4,IF(AND(N267="Sex",G267&lt;&gt;"",H267=""),$Z$3-G267,IF(AND(G267&lt;&gt;"",H267=""),$Z$3-G267,IF(AND(N267="Sex",H267&lt;$Y$3),$Z$3-H267,IF(AND(N267&lt;&gt;"Sex",H267&gt;$AA$8),"",IF(AND(N267="Sex",H267&gt;$Z$8),"",IF(AND(N267&lt;&gt;"Sex",I267&gt;$Z$8),$Z$8-H267,IF(AND(N267&lt;&gt;"Sex",H267&lt;$Y$8),$Z$8-H267,"")))))))))))))))</f>
        <v/>
      </c>
      <c r="Q267" s="33"/>
      <c r="R267" s="33"/>
      <c r="S267" s="33"/>
    </row>
    <row r="268" spans="1:19" x14ac:dyDescent="0.25">
      <c r="A268" s="116" t="s">
        <v>202</v>
      </c>
      <c r="B268" s="32">
        <v>43875</v>
      </c>
      <c r="C268" s="39">
        <f t="shared" si="20"/>
        <v>0.33333333333333331</v>
      </c>
      <c r="D268" s="33">
        <v>0.33333333333333331</v>
      </c>
      <c r="E268" s="33">
        <v>0.5</v>
      </c>
      <c r="F268" s="39">
        <f t="shared" si="21"/>
        <v>0.54166666666666663</v>
      </c>
      <c r="G268" s="33">
        <v>0.54166666666666663</v>
      </c>
      <c r="H268" s="33">
        <v>0.75</v>
      </c>
      <c r="I268" s="39">
        <f>IFERROR(IF(B268=VLOOKUP(B268,Feriados[],2,0),H268,IF(N268="Sáb",H268,IF(AND(B268&lt;$T$1,H268&lt;=$AA$3),$Z$3,IF(AND(N268="Sex",H268&gt;$AA$3),H268,IF(H268&lt;=$AA$3,$Z$3,IF(H268&lt;=$AA$8,$Z$8,H268)))))),IF(N268="Sáb",H268,IF(AND(B268&lt;$T$1,H268&lt;=$AA$3),$Z$3,IF(AND(N268="Sex",H268&gt;$AA$3),H268,IF(H268&lt;=$AA$3,$Z$3,IF(H268&lt;=$AA$8,$Z$8,H268))))))</f>
        <v>0.75</v>
      </c>
      <c r="J268" s="33">
        <f t="shared" si="22"/>
        <v>0.37500000000000006</v>
      </c>
      <c r="K268" s="33">
        <f>IFERROR(IF(H268="","",IF(B268=VLOOKUP(B268,Feriados[],2,0),(H268-D268)-(G268-E268),IF(D268&lt;=$Y$4,(I268-D268)-(G268-E268),(I268-C268)-(F268-E268)))),IF(AND(D268&lt;=$Y$4,F268-E268=$AB$1),(I268-D268)-(F268-E268),IF(D268&lt;$Y$4,(I268-D268)-(G268-E268),(I268-C268)-(F268-E268))))</f>
        <v>0.37500000000000006</v>
      </c>
      <c r="L268" s="40" t="str">
        <f>IF(B268=_xlfn.XLOOKUP(B268,Feriados[FE Oficial],Feriados[FE Talvez],"",0),"",IF(Q268="Compensado","",IF(AND(N268="Sex",D268&lt;$Y$4),($Z$4-D268)+$AB$1-(F268-E268)+(I268-$Z$3),IF(AND(N268="Sex",I268&gt;$Z$3),($AB$1-(F268-E268))+(I268-$Z$3),IF(AND(N268="Sex",E268&lt;&gt;"",D268&lt;$Y$4),($Z$4-D268)+$AB$1-(F268-E268)+(I268-$Z$3),IF(N268="Sáb",(I268-D268)-(G268-E268)-(S268-R268),IF(AND(B268&lt;$T$1,I268&gt;$Z$3),H268-$Z$3,IF(D268&lt;$Y$4,($Z$4-D268)+($AB$1-(F268-E268))+(I268-$Z$8)+(S268-R268),IF(AND(S268&lt;&gt;"",D268&gt;$Z$4),(S268-R268)-($AB$1-(F268-E268)),IF(AND(S268&lt;&gt;"",D268&lt;$Y$4),(S268-R268)-($AB$1-(F268-E268)+($Z$4-D268)),IF(I268&gt;$Z$8,($AB$1-(F268-E268))+(I268-$Z$8),IF(AND(N268="Sex",(F268-E268)&lt;($AB$1-$W$1)),($AB$1-(F268-E268)),IF(AND(O268&gt;($AB$1-$W$1),D268&gt;$Z$4),"",IF(AND(B268&gt;=$T$1,(F268-E268)&gt;($AB$1-$W$1)),"",IF(AND(D268&gt;=$Y$4,I268=$Z$8,S268=""),($AB$1-(F268-E268)),IF(AND(P268&lt;&gt;"",S268&lt;&gt;""),I268-$Z$8,IF(AND(P268&lt;&gt;"",D268&gt;$Y$4),$AB$1-(F268-E268),"")))))))))))))))))</f>
        <v/>
      </c>
      <c r="M268" s="107" t="str">
        <f>IFERROR(IF(H268="","",IF(B268=VLOOKUP(B268,Feriados[],2,0),(H268-D268)-(G268-E268),"")),"")</f>
        <v/>
      </c>
      <c r="N268" s="38" t="str">
        <f t="shared" si="23"/>
        <v>Qui</v>
      </c>
      <c r="O268" s="112">
        <f t="shared" si="24"/>
        <v>4.166666666666663E-2</v>
      </c>
      <c r="P268" s="113" t="str">
        <f>IF(B268=_xlfn.XLOOKUP(B268,Feriados[FE Oficial],Feriados[FE Talvez],"",0),"",IF(B268&lt;$T$1,"",IF(Q268="Consulta","",IF(Q268="Compensado","",IF(N268="Sáb","",IF(S268&lt;&gt;"",(S268-R268)-(($AB$1-O268)-(D268-$Z$4)),IF(O268&gt;$AB$1,O268-$AB$1,IF(C268&gt;$Z$4,C268-$Z$4,IF(AND(N268="Sex",G268&lt;&gt;"",H268=""),$Z$3-G268,IF(AND(G268&lt;&gt;"",H268=""),$Z$3-G268,IF(AND(N268="Sex",H268&lt;$Y$3),$Z$3-H268,IF(AND(N268&lt;&gt;"Sex",H268&gt;$AA$8),"",IF(AND(N268="Sex",H268&gt;$Z$8),"",IF(AND(N268&lt;&gt;"Sex",I268&gt;$Z$8),$Z$8-H268,IF(AND(N268&lt;&gt;"Sex",H268&lt;$Y$8),$Z$8-H268,"")))))))))))))))</f>
        <v/>
      </c>
      <c r="Q268" s="33"/>
      <c r="R268" s="33"/>
      <c r="S268" s="33"/>
    </row>
    <row r="269" spans="1:19" x14ac:dyDescent="0.25">
      <c r="A269" s="116" t="s">
        <v>203</v>
      </c>
      <c r="B269" s="32">
        <v>43875</v>
      </c>
      <c r="C269" s="39">
        <f t="shared" si="20"/>
        <v>0.33333333333333331</v>
      </c>
      <c r="D269" s="33">
        <v>0.33333333333333331</v>
      </c>
      <c r="E269" s="33">
        <v>0.5</v>
      </c>
      <c r="F269" s="39">
        <f t="shared" si="21"/>
        <v>0.54166666666666663</v>
      </c>
      <c r="G269" s="33">
        <v>0.54166666666666663</v>
      </c>
      <c r="H269" s="33">
        <v>0.75</v>
      </c>
      <c r="I269" s="39">
        <f>IFERROR(IF(B269=VLOOKUP(B269,Feriados[],2,0),H269,IF(N269="Sáb",H269,IF(AND(B269&lt;$T$1,H269&lt;=$AA$3),$Z$3,IF(AND(N269="Sex",H269&gt;$AA$3),H269,IF(H269&lt;=$AA$3,$Z$3,IF(H269&lt;=$AA$8,$Z$8,H269)))))),IF(N269="Sáb",H269,IF(AND(B269&lt;$T$1,H269&lt;=$AA$3),$Z$3,IF(AND(N269="Sex",H269&gt;$AA$3),H269,IF(H269&lt;=$AA$3,$Z$3,IF(H269&lt;=$AA$8,$Z$8,H269))))))</f>
        <v>0.75</v>
      </c>
      <c r="J269" s="33">
        <f t="shared" si="22"/>
        <v>0.37500000000000006</v>
      </c>
      <c r="K269" s="33">
        <f>IFERROR(IF(H269="","",IF(B269=VLOOKUP(B269,Feriados[],2,0),(H269-D269)-(G269-E269),IF(D269&lt;=$Y$4,(I269-D269)-(G269-E269),(I269-C269)-(F269-E269)))),IF(AND(D269&lt;=$Y$4,F269-E269=$AB$1),(I269-D269)-(F269-E269),IF(D269&lt;$Y$4,(I269-D269)-(G269-E269),(I269-C269)-(F269-E269))))</f>
        <v>0.37500000000000006</v>
      </c>
      <c r="L269" s="40" t="str">
        <f>IF(B269=_xlfn.XLOOKUP(B269,Feriados[FE Oficial],Feriados[FE Talvez],"",0),"",IF(Q269="Compensado","",IF(AND(N269="Sex",D269&lt;$Y$4),($Z$4-D269)+$AB$1-(F269-E269)+(I269-$Z$3),IF(AND(N269="Sex",I269&gt;$Z$3),($AB$1-(F269-E269))+(I269-$Z$3),IF(AND(N269="Sex",E269&lt;&gt;"",D269&lt;$Y$4),($Z$4-D269)+$AB$1-(F269-E269)+(I269-$Z$3),IF(N269="Sáb",(I269-D269)-(G269-E269)-(S269-R269),IF(AND(B269&lt;$T$1,I269&gt;$Z$3),H269-$Z$3,IF(D269&lt;$Y$4,($Z$4-D269)+($AB$1-(F269-E269))+(I269-$Z$8)+(S269-R269),IF(AND(S269&lt;&gt;"",D269&gt;$Z$4),(S269-R269)-($AB$1-(F269-E269)),IF(AND(S269&lt;&gt;"",D269&lt;$Y$4),(S269-R269)-($AB$1-(F269-E269)+($Z$4-D269)),IF(I269&gt;$Z$8,($AB$1-(F269-E269))+(I269-$Z$8),IF(AND(N269="Sex",(F269-E269)&lt;($AB$1-$W$1)),($AB$1-(F269-E269)),IF(AND(O269&gt;($AB$1-$W$1),D269&gt;$Z$4),"",IF(AND(B269&gt;=$T$1,(F269-E269)&gt;($AB$1-$W$1)),"",IF(AND(D269&gt;=$Y$4,I269=$Z$8,S269=""),($AB$1-(F269-E269)),IF(AND(P269&lt;&gt;"",S269&lt;&gt;""),I269-$Z$8,IF(AND(P269&lt;&gt;"",D269&gt;$Y$4),$AB$1-(F269-E269),"")))))))))))))))))</f>
        <v/>
      </c>
      <c r="M269" s="107" t="str">
        <f>IFERROR(IF(H269="","",IF(B269=VLOOKUP(B269,Feriados[],2,0),(H269-D269)-(G269-E269),"")),"")</f>
        <v/>
      </c>
      <c r="N269" s="38" t="str">
        <f t="shared" si="23"/>
        <v>Qui</v>
      </c>
      <c r="O269" s="112">
        <f t="shared" si="24"/>
        <v>4.166666666666663E-2</v>
      </c>
      <c r="P269" s="113" t="str">
        <f>IF(B269=_xlfn.XLOOKUP(B269,Feriados[FE Oficial],Feriados[FE Talvez],"",0),"",IF(B269&lt;$T$1,"",IF(Q269="Consulta","",IF(Q269="Compensado","",IF(N269="Sáb","",IF(S269&lt;&gt;"",(S269-R269)-(($AB$1-O269)-(D269-$Z$4)),IF(O269&gt;$AB$1,O269-$AB$1,IF(C269&gt;$Z$4,C269-$Z$4,IF(AND(N269="Sex",G269&lt;&gt;"",H269=""),$Z$3-G269,IF(AND(G269&lt;&gt;"",H269=""),$Z$3-G269,IF(AND(N269="Sex",H269&lt;$Y$3),$Z$3-H269,IF(AND(N269&lt;&gt;"Sex",H269&gt;$AA$8),"",IF(AND(N269="Sex",H269&gt;$Z$8),"",IF(AND(N269&lt;&gt;"Sex",I269&gt;$Z$8),$Z$8-H269,IF(AND(N269&lt;&gt;"Sex",H269&lt;$Y$8),$Z$8-H269,"")))))))))))))))</f>
        <v/>
      </c>
      <c r="Q269" s="33"/>
      <c r="R269" s="33"/>
      <c r="S269" s="33"/>
    </row>
    <row r="270" spans="1:19" x14ac:dyDescent="0.25">
      <c r="A270" s="116" t="s">
        <v>204</v>
      </c>
      <c r="B270" s="32">
        <v>43875</v>
      </c>
      <c r="C270" s="39">
        <f t="shared" si="20"/>
        <v>0.33333333333333331</v>
      </c>
      <c r="D270" s="33">
        <v>0.33333333333333331</v>
      </c>
      <c r="E270" s="33">
        <v>0.5</v>
      </c>
      <c r="F270" s="39">
        <f t="shared" si="21"/>
        <v>0.54166666666666663</v>
      </c>
      <c r="G270" s="33">
        <v>0.54166666666666663</v>
      </c>
      <c r="H270" s="33">
        <v>0.75</v>
      </c>
      <c r="I270" s="39">
        <f>IFERROR(IF(B270=VLOOKUP(B270,Feriados[],2,0),H270,IF(N270="Sáb",H270,IF(AND(B270&lt;$T$1,H270&lt;=$AA$3),$Z$3,IF(AND(N270="Sex",H270&gt;$AA$3),H270,IF(H270&lt;=$AA$3,$Z$3,IF(H270&lt;=$AA$8,$Z$8,H270)))))),IF(N270="Sáb",H270,IF(AND(B270&lt;$T$1,H270&lt;=$AA$3),$Z$3,IF(AND(N270="Sex",H270&gt;$AA$3),H270,IF(H270&lt;=$AA$3,$Z$3,IF(H270&lt;=$AA$8,$Z$8,H270))))))</f>
        <v>0.75</v>
      </c>
      <c r="J270" s="33">
        <f t="shared" si="22"/>
        <v>0.37500000000000006</v>
      </c>
      <c r="K270" s="33">
        <f>IFERROR(IF(H270="","",IF(B270=VLOOKUP(B270,Feriados[],2,0),(H270-D270)-(G270-E270),IF(D270&lt;=$Y$4,(I270-D270)-(G270-E270),(I270-C270)-(F270-E270)))),IF(AND(D270&lt;=$Y$4,F270-E270=$AB$1),(I270-D270)-(F270-E270),IF(D270&lt;$Y$4,(I270-D270)-(G270-E270),(I270-C270)-(F270-E270))))</f>
        <v>0.37500000000000006</v>
      </c>
      <c r="L270" s="40" t="str">
        <f>IF(B270=_xlfn.XLOOKUP(B270,Feriados[FE Oficial],Feriados[FE Talvez],"",0),"",IF(Q270="Compensado","",IF(AND(N270="Sex",D270&lt;$Y$4),($Z$4-D270)+$AB$1-(F270-E270)+(I270-$Z$3),IF(AND(N270="Sex",I270&gt;$Z$3),($AB$1-(F270-E270))+(I270-$Z$3),IF(AND(N270="Sex",E270&lt;&gt;"",D270&lt;$Y$4),($Z$4-D270)+$AB$1-(F270-E270)+(I270-$Z$3),IF(N270="Sáb",(I270-D270)-(G270-E270)-(S270-R270),IF(AND(B270&lt;$T$1,I270&gt;$Z$3),H270-$Z$3,IF(D270&lt;$Y$4,($Z$4-D270)+($AB$1-(F270-E270))+(I270-$Z$8)+(S270-R270),IF(AND(S270&lt;&gt;"",D270&gt;$Z$4),(S270-R270)-($AB$1-(F270-E270)),IF(AND(S270&lt;&gt;"",D270&lt;$Y$4),(S270-R270)-($AB$1-(F270-E270)+($Z$4-D270)),IF(I270&gt;$Z$8,($AB$1-(F270-E270))+(I270-$Z$8),IF(AND(N270="Sex",(F270-E270)&lt;($AB$1-$W$1)),($AB$1-(F270-E270)),IF(AND(O270&gt;($AB$1-$W$1),D270&gt;$Z$4),"",IF(AND(B270&gt;=$T$1,(F270-E270)&gt;($AB$1-$W$1)),"",IF(AND(D270&gt;=$Y$4,I270=$Z$8,S270=""),($AB$1-(F270-E270)),IF(AND(P270&lt;&gt;"",S270&lt;&gt;""),I270-$Z$8,IF(AND(P270&lt;&gt;"",D270&gt;$Y$4),$AB$1-(F270-E270),"")))))))))))))))))</f>
        <v/>
      </c>
      <c r="M270" s="107" t="str">
        <f>IFERROR(IF(H270="","",IF(B270=VLOOKUP(B270,Feriados[],2,0),(H270-D270)-(G270-E270),"")),"")</f>
        <v/>
      </c>
      <c r="N270" s="38" t="str">
        <f t="shared" si="23"/>
        <v>Qui</v>
      </c>
      <c r="O270" s="112">
        <f t="shared" si="24"/>
        <v>4.166666666666663E-2</v>
      </c>
      <c r="P270" s="113" t="str">
        <f>IF(B270=_xlfn.XLOOKUP(B270,Feriados[FE Oficial],Feriados[FE Talvez],"",0),"",IF(B270&lt;$T$1,"",IF(Q270="Consulta","",IF(Q270="Compensado","",IF(N270="Sáb","",IF(S270&lt;&gt;"",(S270-R270)-(($AB$1-O270)-(D270-$Z$4)),IF(O270&gt;$AB$1,O270-$AB$1,IF(C270&gt;$Z$4,C270-$Z$4,IF(AND(N270="Sex",G270&lt;&gt;"",H270=""),$Z$3-G270,IF(AND(G270&lt;&gt;"",H270=""),$Z$3-G270,IF(AND(N270="Sex",H270&lt;$Y$3),$Z$3-H270,IF(AND(N270&lt;&gt;"Sex",H270&gt;$AA$8),"",IF(AND(N270="Sex",H270&gt;$Z$8),"",IF(AND(N270&lt;&gt;"Sex",I270&gt;$Z$8),$Z$8-H270,IF(AND(N270&lt;&gt;"Sex",H270&lt;$Y$8),$Z$8-H270,"")))))))))))))))</f>
        <v/>
      </c>
      <c r="Q270" s="33"/>
      <c r="R270" s="33"/>
      <c r="S270" s="33"/>
    </row>
    <row r="271" spans="1:19" x14ac:dyDescent="0.25">
      <c r="A271" s="115" t="s">
        <v>191</v>
      </c>
      <c r="B271" s="32">
        <v>43876</v>
      </c>
      <c r="C271" s="39">
        <f t="shared" si="20"/>
        <v>0.33333333333333331</v>
      </c>
      <c r="D271" s="33">
        <v>0.32500000000000001</v>
      </c>
      <c r="E271" s="33">
        <v>0.5</v>
      </c>
      <c r="F271" s="39">
        <f t="shared" si="21"/>
        <v>0.54166666666666663</v>
      </c>
      <c r="G271" s="33">
        <v>0.54166666666666663</v>
      </c>
      <c r="H271" s="33">
        <v>0.70833333333333337</v>
      </c>
      <c r="I271" s="39">
        <f>IFERROR(IF(B271=VLOOKUP(B271,Feriados[],2,0),H271,IF(N271="Sáb",H271,IF(AND(B271&lt;$T$1,H271&lt;=$AA$3),$Z$3,IF(AND(N271="Sex",H271&gt;$AA$3),H271,IF(H271&lt;=$AA$3,$Z$3,IF(H271&lt;=$AA$8,$Z$8,H271)))))),IF(N271="Sáb",H271,IF(AND(B271&lt;$T$1,H271&lt;=$AA$3),$Z$3,IF(AND(N271="Sex",H271&gt;$AA$3),H271,IF(H271&lt;=$AA$3,$Z$3,IF(H271&lt;=$AA$8,$Z$8,H271))))))</f>
        <v>0.70833333333333337</v>
      </c>
      <c r="J271" s="33">
        <f t="shared" si="22"/>
        <v>0.33333333333333331</v>
      </c>
      <c r="K271" s="33">
        <f>IFERROR(IF(H271="","",IF(B271=VLOOKUP(B271,Feriados[],2,0),(H271-D271)-(G271-E271),IF(D271&lt;=$Y$4,(I271-D271)-(G271-E271),(I271-C271)-(F271-E271)))),IF(AND(D271&lt;=$Y$4,F271-E271=$AB$1),(I271-D271)-(F271-E271),IF(D271&lt;$Y$4,(I271-D271)-(G271-E271),(I271-C271)-(F271-E271))))</f>
        <v>0.34166666666666673</v>
      </c>
      <c r="L271" s="40">
        <f>IF(B271=_xlfn.XLOOKUP(B271,Feriados[FE Oficial],Feriados[FE Talvez],"",0),"",IF(Q271="Compensado","",IF(AND(N271="Sex",D271&lt;$Y$4),($Z$4-D271)+$AB$1-(F271-E271)+(I271-$Z$3),IF(AND(N271="Sex",I271&gt;$Z$3),($AB$1-(F271-E271))+(I271-$Z$3),IF(AND(N271="Sex",E271&lt;&gt;"",D271&lt;$Y$4),($Z$4-D271)+$AB$1-(F271-E271)+(I271-$Z$3),IF(N271="Sáb",(I271-D271)-(G271-E271)-(S271-R271),IF(AND(B271&lt;$T$1,I271&gt;$Z$3),H271-$Z$3,IF(D271&lt;$Y$4,($Z$4-D271)+($AB$1-(F271-E271))+(I271-$Z$8)+(S271-R271),IF(AND(S271&lt;&gt;"",D271&gt;$Z$4),(S271-R271)-($AB$1-(F271-E271)),IF(AND(S271&lt;&gt;"",D271&lt;$Y$4),(S271-R271)-($AB$1-(F271-E271)+($Z$4-D271)),IF(I271&gt;$Z$8,($AB$1-(F271-E271))+(I271-$Z$8),IF(AND(N271="Sex",(F271-E271)&lt;($AB$1-$W$1)),($AB$1-(F271-E271)),IF(AND(O271&gt;($AB$1-$W$1),D271&gt;$Z$4),"",IF(AND(B271&gt;=$T$1,(F271-E271)&gt;($AB$1-$W$1)),"",IF(AND(D271&gt;=$Y$4,I271=$Z$8,S271=""),($AB$1-(F271-E271)),IF(AND(P271&lt;&gt;"",S271&lt;&gt;""),I271-$Z$8,IF(AND(P271&lt;&gt;"",D271&gt;$Y$4),$AB$1-(F271-E271),"")))))))))))))))))</f>
        <v>8.3333333333333384E-3</v>
      </c>
      <c r="M271" s="107" t="str">
        <f>IFERROR(IF(H271="","",IF(B271=VLOOKUP(B271,Feriados[],2,0),(H271-D271)-(G271-E271),"")),"")</f>
        <v/>
      </c>
      <c r="N271" s="38" t="str">
        <f t="shared" si="23"/>
        <v>Sex</v>
      </c>
      <c r="O271" s="112">
        <f t="shared" si="24"/>
        <v>4.166666666666663E-2</v>
      </c>
      <c r="P271" s="113" t="str">
        <f>IF(B271=_xlfn.XLOOKUP(B271,Feriados[FE Oficial],Feriados[FE Talvez],"",0),"",IF(B271&lt;$T$1,"",IF(Q271="Consulta","",IF(Q271="Compensado","",IF(N271="Sáb","",IF(S271&lt;&gt;"",(S271-R271)-(($AB$1-O271)-(D271-$Z$4)),IF(O271&gt;$AB$1,O271-$AB$1,IF(C271&gt;$Z$4,C271-$Z$4,IF(AND(N271="Sex",G271&lt;&gt;"",H271=""),$Z$3-G271,IF(AND(G271&lt;&gt;"",H271=""),$Z$3-G271,IF(AND(N271="Sex",H271&lt;$Y$3),$Z$3-H271,IF(AND(N271&lt;&gt;"Sex",H271&gt;$AA$8),"",IF(AND(N271="Sex",H271&gt;$Z$8),"",IF(AND(N271&lt;&gt;"Sex",I271&gt;$Z$8),$Z$8-H271,IF(AND(N271&lt;&gt;"Sex",H271&lt;$Y$8),$Z$8-H271,"")))))))))))))))</f>
        <v/>
      </c>
      <c r="Q271" s="33"/>
      <c r="R271" s="33"/>
      <c r="S271" s="33"/>
    </row>
    <row r="272" spans="1:19" x14ac:dyDescent="0.25">
      <c r="A272" s="115" t="s">
        <v>202</v>
      </c>
      <c r="B272" s="32">
        <v>43876</v>
      </c>
      <c r="C272" s="39">
        <f t="shared" si="20"/>
        <v>0.33333333333333331</v>
      </c>
      <c r="D272" s="33">
        <v>0.33333333333333331</v>
      </c>
      <c r="E272" s="33">
        <v>0.5</v>
      </c>
      <c r="F272" s="39">
        <f t="shared" si="21"/>
        <v>0.54166666666666663</v>
      </c>
      <c r="G272" s="33">
        <v>0.54166666666666663</v>
      </c>
      <c r="H272" s="33">
        <v>0.70833333333333337</v>
      </c>
      <c r="I272" s="39">
        <f>IFERROR(IF(B272=VLOOKUP(B272,Feriados[],2,0),H272,IF(N272="Sáb",H272,IF(AND(B272&lt;$T$1,H272&lt;=$AA$3),$Z$3,IF(AND(N272="Sex",H272&gt;$AA$3),H272,IF(H272&lt;=$AA$3,$Z$3,IF(H272&lt;=$AA$8,$Z$8,H272)))))),IF(N272="Sáb",H272,IF(AND(B272&lt;$T$1,H272&lt;=$AA$3),$Z$3,IF(AND(N272="Sex",H272&gt;$AA$3),H272,IF(H272&lt;=$AA$3,$Z$3,IF(H272&lt;=$AA$8,$Z$8,H272))))))</f>
        <v>0.70833333333333337</v>
      </c>
      <c r="J272" s="33">
        <f t="shared" si="22"/>
        <v>0.33333333333333343</v>
      </c>
      <c r="K272" s="33">
        <f>IFERROR(IF(H272="","",IF(B272=VLOOKUP(B272,Feriados[],2,0),(H272-D272)-(G272-E272),IF(D272&lt;=$Y$4,(I272-D272)-(G272-E272),(I272-C272)-(F272-E272)))),IF(AND(D272&lt;=$Y$4,F272-E272=$AB$1),(I272-D272)-(F272-E272),IF(D272&lt;$Y$4,(I272-D272)-(G272-E272),(I272-C272)-(F272-E272))))</f>
        <v>0.33333333333333343</v>
      </c>
      <c r="L272" s="40" t="str">
        <f>IF(B272=_xlfn.XLOOKUP(B272,Feriados[FE Oficial],Feriados[FE Talvez],"",0),"",IF(Q272="Compensado","",IF(AND(N272="Sex",D272&lt;$Y$4),($Z$4-D272)+$AB$1-(F272-E272)+(I272-$Z$3),IF(AND(N272="Sex",I272&gt;$Z$3),($AB$1-(F272-E272))+(I272-$Z$3),IF(AND(N272="Sex",E272&lt;&gt;"",D272&lt;$Y$4),($Z$4-D272)+$AB$1-(F272-E272)+(I272-$Z$3),IF(N272="Sáb",(I272-D272)-(G272-E272)-(S272-R272),IF(AND(B272&lt;$T$1,I272&gt;$Z$3),H272-$Z$3,IF(D272&lt;$Y$4,($Z$4-D272)+($AB$1-(F272-E272))+(I272-$Z$8)+(S272-R272),IF(AND(S272&lt;&gt;"",D272&gt;$Z$4),(S272-R272)-($AB$1-(F272-E272)),IF(AND(S272&lt;&gt;"",D272&lt;$Y$4),(S272-R272)-($AB$1-(F272-E272)+($Z$4-D272)),IF(I272&gt;$Z$8,($AB$1-(F272-E272))+(I272-$Z$8),IF(AND(N272="Sex",(F272-E272)&lt;($AB$1-$W$1)),($AB$1-(F272-E272)),IF(AND(O272&gt;($AB$1-$W$1),D272&gt;$Z$4),"",IF(AND(B272&gt;=$T$1,(F272-E272)&gt;($AB$1-$W$1)),"",IF(AND(D272&gt;=$Y$4,I272=$Z$8,S272=""),($AB$1-(F272-E272)),IF(AND(P272&lt;&gt;"",S272&lt;&gt;""),I272-$Z$8,IF(AND(P272&lt;&gt;"",D272&gt;$Y$4),$AB$1-(F272-E272),"")))))))))))))))))</f>
        <v/>
      </c>
      <c r="M272" s="107" t="str">
        <f>IFERROR(IF(H272="","",IF(B272=VLOOKUP(B272,Feriados[],2,0),(H272-D272)-(G272-E272),"")),"")</f>
        <v/>
      </c>
      <c r="N272" s="38" t="str">
        <f t="shared" si="23"/>
        <v>Sex</v>
      </c>
      <c r="O272" s="112">
        <f t="shared" si="24"/>
        <v>4.166666666666663E-2</v>
      </c>
      <c r="P272" s="113" t="str">
        <f>IF(B272=_xlfn.XLOOKUP(B272,Feriados[FE Oficial],Feriados[FE Talvez],"",0),"",IF(B272&lt;$T$1,"",IF(Q272="Consulta","",IF(Q272="Compensado","",IF(N272="Sáb","",IF(S272&lt;&gt;"",(S272-R272)-(($AB$1-O272)-(D272-$Z$4)),IF(O272&gt;$AB$1,O272-$AB$1,IF(C272&gt;$Z$4,C272-$Z$4,IF(AND(N272="Sex",G272&lt;&gt;"",H272=""),$Z$3-G272,IF(AND(G272&lt;&gt;"",H272=""),$Z$3-G272,IF(AND(N272="Sex",H272&lt;$Y$3),$Z$3-H272,IF(AND(N272&lt;&gt;"Sex",H272&gt;$AA$8),"",IF(AND(N272="Sex",H272&gt;$Z$8),"",IF(AND(N272&lt;&gt;"Sex",I272&gt;$Z$8),$Z$8-H272,IF(AND(N272&lt;&gt;"Sex",H272&lt;$Y$8),$Z$8-H272,"")))))))))))))))</f>
        <v/>
      </c>
      <c r="Q272" s="33"/>
      <c r="R272" s="33"/>
      <c r="S272" s="33"/>
    </row>
    <row r="273" spans="1:19" x14ac:dyDescent="0.25">
      <c r="A273" s="115" t="s">
        <v>203</v>
      </c>
      <c r="B273" s="32">
        <v>43876</v>
      </c>
      <c r="C273" s="39">
        <f t="shared" si="20"/>
        <v>0.33333333333333331</v>
      </c>
      <c r="D273" s="33">
        <v>0.33333333333333331</v>
      </c>
      <c r="E273" s="33">
        <v>0.5</v>
      </c>
      <c r="F273" s="39">
        <f t="shared" si="21"/>
        <v>0.54166666666666663</v>
      </c>
      <c r="G273" s="33">
        <v>0.54166666666666663</v>
      </c>
      <c r="H273" s="33">
        <v>0.70833333333333337</v>
      </c>
      <c r="I273" s="39">
        <f>IFERROR(IF(B273=VLOOKUP(B273,Feriados[],2,0),H273,IF(N273="Sáb",H273,IF(AND(B273&lt;$T$1,H273&lt;=$AA$3),$Z$3,IF(AND(N273="Sex",H273&gt;$AA$3),H273,IF(H273&lt;=$AA$3,$Z$3,IF(H273&lt;=$AA$8,$Z$8,H273)))))),IF(N273="Sáb",H273,IF(AND(B273&lt;$T$1,H273&lt;=$AA$3),$Z$3,IF(AND(N273="Sex",H273&gt;$AA$3),H273,IF(H273&lt;=$AA$3,$Z$3,IF(H273&lt;=$AA$8,$Z$8,H273))))))</f>
        <v>0.70833333333333337</v>
      </c>
      <c r="J273" s="33">
        <f t="shared" si="22"/>
        <v>0.33333333333333343</v>
      </c>
      <c r="K273" s="33">
        <f>IFERROR(IF(H273="","",IF(B273=VLOOKUP(B273,Feriados[],2,0),(H273-D273)-(G273-E273),IF(D273&lt;=$Y$4,(I273-D273)-(G273-E273),(I273-C273)-(F273-E273)))),IF(AND(D273&lt;=$Y$4,F273-E273=$AB$1),(I273-D273)-(F273-E273),IF(D273&lt;$Y$4,(I273-D273)-(G273-E273),(I273-C273)-(F273-E273))))</f>
        <v>0.33333333333333343</v>
      </c>
      <c r="L273" s="40" t="str">
        <f>IF(B273=_xlfn.XLOOKUP(B273,Feriados[FE Oficial],Feriados[FE Talvez],"",0),"",IF(Q273="Compensado","",IF(AND(N273="Sex",D273&lt;$Y$4),($Z$4-D273)+$AB$1-(F273-E273)+(I273-$Z$3),IF(AND(N273="Sex",I273&gt;$Z$3),($AB$1-(F273-E273))+(I273-$Z$3),IF(AND(N273="Sex",E273&lt;&gt;"",D273&lt;$Y$4),($Z$4-D273)+$AB$1-(F273-E273)+(I273-$Z$3),IF(N273="Sáb",(I273-D273)-(G273-E273)-(S273-R273),IF(AND(B273&lt;$T$1,I273&gt;$Z$3),H273-$Z$3,IF(D273&lt;$Y$4,($Z$4-D273)+($AB$1-(F273-E273))+(I273-$Z$8)+(S273-R273),IF(AND(S273&lt;&gt;"",D273&gt;$Z$4),(S273-R273)-($AB$1-(F273-E273)),IF(AND(S273&lt;&gt;"",D273&lt;$Y$4),(S273-R273)-($AB$1-(F273-E273)+($Z$4-D273)),IF(I273&gt;$Z$8,($AB$1-(F273-E273))+(I273-$Z$8),IF(AND(N273="Sex",(F273-E273)&lt;($AB$1-$W$1)),($AB$1-(F273-E273)),IF(AND(O273&gt;($AB$1-$W$1),D273&gt;$Z$4),"",IF(AND(B273&gt;=$T$1,(F273-E273)&gt;($AB$1-$W$1)),"",IF(AND(D273&gt;=$Y$4,I273=$Z$8,S273=""),($AB$1-(F273-E273)),IF(AND(P273&lt;&gt;"",S273&lt;&gt;""),I273-$Z$8,IF(AND(P273&lt;&gt;"",D273&gt;$Y$4),$AB$1-(F273-E273),"")))))))))))))))))</f>
        <v/>
      </c>
      <c r="M273" s="107" t="str">
        <f>IFERROR(IF(H273="","",IF(B273=VLOOKUP(B273,Feriados[],2,0),(H273-D273)-(G273-E273),"")),"")</f>
        <v/>
      </c>
      <c r="N273" s="38" t="str">
        <f t="shared" si="23"/>
        <v>Sex</v>
      </c>
      <c r="O273" s="112">
        <f t="shared" si="24"/>
        <v>4.166666666666663E-2</v>
      </c>
      <c r="P273" s="113" t="str">
        <f>IF(B273=_xlfn.XLOOKUP(B273,Feriados[FE Oficial],Feriados[FE Talvez],"",0),"",IF(B273&lt;$T$1,"",IF(Q273="Consulta","",IF(Q273="Compensado","",IF(N273="Sáb","",IF(S273&lt;&gt;"",(S273-R273)-(($AB$1-O273)-(D273-$Z$4)),IF(O273&gt;$AB$1,O273-$AB$1,IF(C273&gt;$Z$4,C273-$Z$4,IF(AND(N273="Sex",G273&lt;&gt;"",H273=""),$Z$3-G273,IF(AND(G273&lt;&gt;"",H273=""),$Z$3-G273,IF(AND(N273="Sex",H273&lt;$Y$3),$Z$3-H273,IF(AND(N273&lt;&gt;"Sex",H273&gt;$AA$8),"",IF(AND(N273="Sex",H273&gt;$Z$8),"",IF(AND(N273&lt;&gt;"Sex",I273&gt;$Z$8),$Z$8-H273,IF(AND(N273&lt;&gt;"Sex",H273&lt;$Y$8),$Z$8-H273,"")))))))))))))))</f>
        <v/>
      </c>
      <c r="Q273" s="33"/>
      <c r="R273" s="33"/>
      <c r="S273" s="33"/>
    </row>
    <row r="274" spans="1:19" x14ac:dyDescent="0.25">
      <c r="A274" s="116" t="s">
        <v>204</v>
      </c>
      <c r="B274" s="32">
        <v>43876</v>
      </c>
      <c r="C274" s="39">
        <f t="shared" si="20"/>
        <v>0.33333333333333331</v>
      </c>
      <c r="D274" s="33">
        <v>0.33333333333333331</v>
      </c>
      <c r="E274" s="33">
        <v>0.5</v>
      </c>
      <c r="F274" s="39">
        <f t="shared" si="21"/>
        <v>0.54166666666666663</v>
      </c>
      <c r="G274" s="33">
        <v>0.54166666666666663</v>
      </c>
      <c r="H274" s="33">
        <v>0.70833333333333337</v>
      </c>
      <c r="I274" s="39">
        <f>IFERROR(IF(B274=VLOOKUP(B274,Feriados[],2,0),H274,IF(N274="Sáb",H274,IF(AND(B274&lt;$T$1,H274&lt;=$AA$3),$Z$3,IF(AND(N274="Sex",H274&gt;$AA$3),H274,IF(H274&lt;=$AA$3,$Z$3,IF(H274&lt;=$AA$8,$Z$8,H274)))))),IF(N274="Sáb",H274,IF(AND(B274&lt;$T$1,H274&lt;=$AA$3),$Z$3,IF(AND(N274="Sex",H274&gt;$AA$3),H274,IF(H274&lt;=$AA$3,$Z$3,IF(H274&lt;=$AA$8,$Z$8,H274))))))</f>
        <v>0.70833333333333337</v>
      </c>
      <c r="J274" s="33">
        <f t="shared" si="22"/>
        <v>0.33333333333333343</v>
      </c>
      <c r="K274" s="33">
        <f>IFERROR(IF(H274="","",IF(B274=VLOOKUP(B274,Feriados[],2,0),(H274-D274)-(G274-E274),IF(D274&lt;=$Y$4,(I274-D274)-(G274-E274),(I274-C274)-(F274-E274)))),IF(AND(D274&lt;=$Y$4,F274-E274=$AB$1),(I274-D274)-(F274-E274),IF(D274&lt;$Y$4,(I274-D274)-(G274-E274),(I274-C274)-(F274-E274))))</f>
        <v>0.33333333333333343</v>
      </c>
      <c r="L274" s="40" t="str">
        <f>IF(B274=_xlfn.XLOOKUP(B274,Feriados[FE Oficial],Feriados[FE Talvez],"",0),"",IF(Q274="Compensado","",IF(AND(N274="Sex",D274&lt;$Y$4),($Z$4-D274)+$AB$1-(F274-E274)+(I274-$Z$3),IF(AND(N274="Sex",I274&gt;$Z$3),($AB$1-(F274-E274))+(I274-$Z$3),IF(AND(N274="Sex",E274&lt;&gt;"",D274&lt;$Y$4),($Z$4-D274)+$AB$1-(F274-E274)+(I274-$Z$3),IF(N274="Sáb",(I274-D274)-(G274-E274)-(S274-R274),IF(AND(B274&lt;$T$1,I274&gt;$Z$3),H274-$Z$3,IF(D274&lt;$Y$4,($Z$4-D274)+($AB$1-(F274-E274))+(I274-$Z$8)+(S274-R274),IF(AND(S274&lt;&gt;"",D274&gt;$Z$4),(S274-R274)-($AB$1-(F274-E274)),IF(AND(S274&lt;&gt;"",D274&lt;$Y$4),(S274-R274)-($AB$1-(F274-E274)+($Z$4-D274)),IF(I274&gt;$Z$8,($AB$1-(F274-E274))+(I274-$Z$8),IF(AND(N274="Sex",(F274-E274)&lt;($AB$1-$W$1)),($AB$1-(F274-E274)),IF(AND(O274&gt;($AB$1-$W$1),D274&gt;$Z$4),"",IF(AND(B274&gt;=$T$1,(F274-E274)&gt;($AB$1-$W$1)),"",IF(AND(D274&gt;=$Y$4,I274=$Z$8,S274=""),($AB$1-(F274-E274)),IF(AND(P274&lt;&gt;"",S274&lt;&gt;""),I274-$Z$8,IF(AND(P274&lt;&gt;"",D274&gt;$Y$4),$AB$1-(F274-E274),"")))))))))))))))))</f>
        <v/>
      </c>
      <c r="M274" s="107" t="str">
        <f>IFERROR(IF(H274="","",IF(B274=VLOOKUP(B274,Feriados[],2,0),(H274-D274)-(G274-E274),"")),"")</f>
        <v/>
      </c>
      <c r="N274" s="38" t="str">
        <f t="shared" si="23"/>
        <v>Sex</v>
      </c>
      <c r="O274" s="112">
        <f t="shared" si="24"/>
        <v>4.166666666666663E-2</v>
      </c>
      <c r="P274" s="113" t="str">
        <f>IF(B274=_xlfn.XLOOKUP(B274,Feriados[FE Oficial],Feriados[FE Talvez],"",0),"",IF(B274&lt;$T$1,"",IF(Q274="Consulta","",IF(Q274="Compensado","",IF(N274="Sáb","",IF(S274&lt;&gt;"",(S274-R274)-(($AB$1-O274)-(D274-$Z$4)),IF(O274&gt;$AB$1,O274-$AB$1,IF(C274&gt;$Z$4,C274-$Z$4,IF(AND(N274="Sex",G274&lt;&gt;"",H274=""),$Z$3-G274,IF(AND(G274&lt;&gt;"",H274=""),$Z$3-G274,IF(AND(N274="Sex",H274&lt;$Y$3),$Z$3-H274,IF(AND(N274&lt;&gt;"Sex",H274&gt;$AA$8),"",IF(AND(N274="Sex",H274&gt;$Z$8),"",IF(AND(N274&lt;&gt;"Sex",I274&gt;$Z$8),$Z$8-H274,IF(AND(N274&lt;&gt;"Sex",H274&lt;$Y$8),$Z$8-H274,"")))))))))))))))</f>
        <v/>
      </c>
      <c r="Q274" s="33"/>
      <c r="R274" s="33"/>
      <c r="S274" s="33"/>
    </row>
    <row r="275" spans="1:19" x14ac:dyDescent="0.25">
      <c r="A275" s="115" t="s">
        <v>202</v>
      </c>
      <c r="B275" s="32">
        <v>43877</v>
      </c>
      <c r="C275" s="39">
        <f t="shared" si="20"/>
        <v>0.33333333333333331</v>
      </c>
      <c r="D275" s="33">
        <v>0.32569444444444445</v>
      </c>
      <c r="E275" s="33">
        <v>0.5</v>
      </c>
      <c r="F275" s="39">
        <f t="shared" si="21"/>
        <v>0.54166666666666663</v>
      </c>
      <c r="G275" s="33">
        <v>0.54166666666666663</v>
      </c>
      <c r="H275" s="33">
        <v>0.66666666666666663</v>
      </c>
      <c r="I275" s="39">
        <f>IFERROR(IF(B275=VLOOKUP(B275,Feriados[],2,0),H275,IF(N275="Sáb",H275,IF(AND(B275&lt;$T$1,H275&lt;=$AA$3),$Z$3,IF(AND(N275="Sex",H275&gt;$AA$3),H275,IF(H275&lt;=$AA$3,$Z$3,IF(H275&lt;=$AA$8,$Z$8,H275)))))),IF(N275="Sáb",H275,IF(AND(B275&lt;$T$1,H275&lt;=$AA$3),$Z$3,IF(AND(N275="Sex",H275&gt;$AA$3),H275,IF(H275&lt;=$AA$3,$Z$3,IF(H275&lt;=$AA$8,$Z$8,H275))))))</f>
        <v>0.66666666666666663</v>
      </c>
      <c r="J275" s="33">
        <f t="shared" si="22"/>
        <v>0.29930555555555555</v>
      </c>
      <c r="K275" s="33">
        <f>IFERROR(IF(H275="","",IF(B275=VLOOKUP(B275,Feriados[],2,0),(H275-D275)-(G275-E275),IF(D275&lt;=$Y$4,(I275-D275)-(G275-E275),(I275-C275)-(F275-E275)))),IF(AND(D275&lt;=$Y$4,F275-E275=$AB$1),(I275-D275)-(F275-E275),IF(D275&lt;$Y$4,(I275-D275)-(G275-E275),(I275-C275)-(F275-E275))))</f>
        <v>0.29930555555555555</v>
      </c>
      <c r="L275" s="40">
        <f>IF(B275=_xlfn.XLOOKUP(B275,Feriados[FE Oficial],Feriados[FE Talvez],"",0),"",IF(Q275="Compensado","",IF(AND(N275="Sex",D275&lt;$Y$4),($Z$4-D275)+$AB$1-(F275-E275)+(I275-$Z$3),IF(AND(N275="Sex",I275&gt;$Z$3),($AB$1-(F275-E275))+(I275-$Z$3),IF(AND(N275="Sex",E275&lt;&gt;"",D275&lt;$Y$4),($Z$4-D275)+$AB$1-(F275-E275)+(I275-$Z$3),IF(N275="Sáb",(I275-D275)-(G275-E275)-(S275-R275),IF(AND(B275&lt;$T$1,I275&gt;$Z$3),H275-$Z$3,IF(D275&lt;$Y$4,($Z$4-D275)+($AB$1-(F275-E275))+(I275-$Z$8)+(S275-R275),IF(AND(S275&lt;&gt;"",D275&gt;$Z$4),(S275-R275)-($AB$1-(F275-E275)),IF(AND(S275&lt;&gt;"",D275&lt;$Y$4),(S275-R275)-($AB$1-(F275-E275)+($Z$4-D275)),IF(I275&gt;$Z$8,($AB$1-(F275-E275))+(I275-$Z$8),IF(AND(N275="Sex",(F275-E275)&lt;($AB$1-$W$1)),($AB$1-(F275-E275)),IF(AND(O275&gt;($AB$1-$W$1),D275&gt;$Z$4),"",IF(AND(B275&gt;=$T$1,(F275-E275)&gt;($AB$1-$W$1)),"",IF(AND(D275&gt;=$Y$4,I275=$Z$8,S275=""),($AB$1-(F275-E275)),IF(AND(P275&lt;&gt;"",S275&lt;&gt;""),I275-$Z$8,IF(AND(P275&lt;&gt;"",D275&gt;$Y$4),$AB$1-(F275-E275),"")))))))))))))))))</f>
        <v>0.29930555555555555</v>
      </c>
      <c r="M275" s="107" t="str">
        <f>IFERROR(IF(H275="","",IF(B275=VLOOKUP(B275,Feriados[],2,0),(H275-D275)-(G275-E275),"")),"")</f>
        <v/>
      </c>
      <c r="N275" s="38" t="str">
        <f t="shared" si="23"/>
        <v>Sáb</v>
      </c>
      <c r="O275" s="112">
        <f t="shared" si="24"/>
        <v>4.166666666666663E-2</v>
      </c>
      <c r="P275" s="113" t="str">
        <f>IF(B275=_xlfn.XLOOKUP(B275,Feriados[FE Oficial],Feriados[FE Talvez],"",0),"",IF(B275&lt;$T$1,"",IF(Q275="Consulta","",IF(Q275="Compensado","",IF(N275="Sáb","",IF(S275&lt;&gt;"",(S275-R275)-(($AB$1-O275)-(D275-$Z$4)),IF(O275&gt;$AB$1,O275-$AB$1,IF(C275&gt;$Z$4,C275-$Z$4,IF(AND(N275="Sex",G275&lt;&gt;"",H275=""),$Z$3-G275,IF(AND(G275&lt;&gt;"",H275=""),$Z$3-G275,IF(AND(N275="Sex",H275&lt;$Y$3),$Z$3-H275,IF(AND(N275&lt;&gt;"Sex",H275&gt;$AA$8),"",IF(AND(N275="Sex",H275&gt;$Z$8),"",IF(AND(N275&lt;&gt;"Sex",I275&gt;$Z$8),$Z$8-H275,IF(AND(N275&lt;&gt;"Sex",H275&lt;$Y$8),$Z$8-H275,"")))))))))))))))</f>
        <v/>
      </c>
      <c r="Q275" s="33"/>
      <c r="R275" s="33"/>
      <c r="S275" s="33"/>
    </row>
    <row r="276" spans="1:19" x14ac:dyDescent="0.25">
      <c r="A276" s="116" t="s">
        <v>203</v>
      </c>
      <c r="B276" s="32">
        <v>43877</v>
      </c>
      <c r="C276" s="39">
        <f t="shared" si="20"/>
        <v>0.33333333333333331</v>
      </c>
      <c r="D276" s="33">
        <v>0.32569444444444445</v>
      </c>
      <c r="E276" s="33">
        <v>0.5</v>
      </c>
      <c r="F276" s="39">
        <f t="shared" si="21"/>
        <v>0.54166666666666663</v>
      </c>
      <c r="G276" s="33">
        <v>0.54166666666666663</v>
      </c>
      <c r="H276" s="33">
        <v>0.66666666666666663</v>
      </c>
      <c r="I276" s="39">
        <f>IFERROR(IF(B276=VLOOKUP(B276,Feriados[],2,0),H276,IF(N276="Sáb",H276,IF(AND(B276&lt;$T$1,H276&lt;=$AA$3),$Z$3,IF(AND(N276="Sex",H276&gt;$AA$3),H276,IF(H276&lt;=$AA$3,$Z$3,IF(H276&lt;=$AA$8,$Z$8,H276)))))),IF(N276="Sáb",H276,IF(AND(B276&lt;$T$1,H276&lt;=$AA$3),$Z$3,IF(AND(N276="Sex",H276&gt;$AA$3),H276,IF(H276&lt;=$AA$3,$Z$3,IF(H276&lt;=$AA$8,$Z$8,H276))))))</f>
        <v>0.66666666666666663</v>
      </c>
      <c r="J276" s="33">
        <f t="shared" si="22"/>
        <v>0.29930555555555555</v>
      </c>
      <c r="K276" s="33">
        <f>IFERROR(IF(H276="","",IF(B276=VLOOKUP(B276,Feriados[],2,0),(H276-D276)-(G276-E276),IF(D276&lt;=$Y$4,(I276-D276)-(G276-E276),(I276-C276)-(F276-E276)))),IF(AND(D276&lt;=$Y$4,F276-E276=$AB$1),(I276-D276)-(F276-E276),IF(D276&lt;$Y$4,(I276-D276)-(G276-E276),(I276-C276)-(F276-E276))))</f>
        <v>0.29930555555555555</v>
      </c>
      <c r="L276" s="40">
        <f>IF(B276=_xlfn.XLOOKUP(B276,Feriados[FE Oficial],Feriados[FE Talvez],"",0),"",IF(Q276="Compensado","",IF(AND(N276="Sex",D276&lt;$Y$4),($Z$4-D276)+$AB$1-(F276-E276)+(I276-$Z$3),IF(AND(N276="Sex",I276&gt;$Z$3),($AB$1-(F276-E276))+(I276-$Z$3),IF(AND(N276="Sex",E276&lt;&gt;"",D276&lt;$Y$4),($Z$4-D276)+$AB$1-(F276-E276)+(I276-$Z$3),IF(N276="Sáb",(I276-D276)-(G276-E276)-(S276-R276),IF(AND(B276&lt;$T$1,I276&gt;$Z$3),H276-$Z$3,IF(D276&lt;$Y$4,($Z$4-D276)+($AB$1-(F276-E276))+(I276-$Z$8)+(S276-R276),IF(AND(S276&lt;&gt;"",D276&gt;$Z$4),(S276-R276)-($AB$1-(F276-E276)),IF(AND(S276&lt;&gt;"",D276&lt;$Y$4),(S276-R276)-($AB$1-(F276-E276)+($Z$4-D276)),IF(I276&gt;$Z$8,($AB$1-(F276-E276))+(I276-$Z$8),IF(AND(N276="Sex",(F276-E276)&lt;($AB$1-$W$1)),($AB$1-(F276-E276)),IF(AND(O276&gt;($AB$1-$W$1),D276&gt;$Z$4),"",IF(AND(B276&gt;=$T$1,(F276-E276)&gt;($AB$1-$W$1)),"",IF(AND(D276&gt;=$Y$4,I276=$Z$8,S276=""),($AB$1-(F276-E276)),IF(AND(P276&lt;&gt;"",S276&lt;&gt;""),I276-$Z$8,IF(AND(P276&lt;&gt;"",D276&gt;$Y$4),$AB$1-(F276-E276),"")))))))))))))))))</f>
        <v>0.29930555555555555</v>
      </c>
      <c r="M276" s="107" t="str">
        <f>IFERROR(IF(H276="","",IF(B276=VLOOKUP(B276,Feriados[],2,0),(H276-D276)-(G276-E276),"")),"")</f>
        <v/>
      </c>
      <c r="N276" s="38" t="str">
        <f t="shared" si="23"/>
        <v>Sáb</v>
      </c>
      <c r="O276" s="112">
        <f t="shared" si="24"/>
        <v>4.166666666666663E-2</v>
      </c>
      <c r="P276" s="113" t="str">
        <f>IF(B276=_xlfn.XLOOKUP(B276,Feriados[FE Oficial],Feriados[FE Talvez],"",0),"",IF(B276&lt;$T$1,"",IF(Q276="Consulta","",IF(Q276="Compensado","",IF(N276="Sáb","",IF(S276&lt;&gt;"",(S276-R276)-(($AB$1-O276)-(D276-$Z$4)),IF(O276&gt;$AB$1,O276-$AB$1,IF(C276&gt;$Z$4,C276-$Z$4,IF(AND(N276="Sex",G276&lt;&gt;"",H276=""),$Z$3-G276,IF(AND(G276&lt;&gt;"",H276=""),$Z$3-G276,IF(AND(N276="Sex",H276&lt;$Y$3),$Z$3-H276,IF(AND(N276&lt;&gt;"Sex",H276&gt;$AA$8),"",IF(AND(N276="Sex",H276&gt;$Z$8),"",IF(AND(N276&lt;&gt;"Sex",I276&gt;$Z$8),$Z$8-H276,IF(AND(N276&lt;&gt;"Sex",H276&lt;$Y$8),$Z$8-H276,"")))))))))))))))</f>
        <v/>
      </c>
      <c r="Q276" s="33"/>
      <c r="R276" s="33"/>
      <c r="S276" s="33"/>
    </row>
    <row r="277" spans="1:19" x14ac:dyDescent="0.25">
      <c r="A277" s="115" t="s">
        <v>191</v>
      </c>
      <c r="B277" s="32">
        <v>43879</v>
      </c>
      <c r="C277" s="39">
        <f t="shared" si="20"/>
        <v>0.33333333333333331</v>
      </c>
      <c r="D277" s="33">
        <v>0.33333333333333331</v>
      </c>
      <c r="E277" s="33">
        <v>0.5</v>
      </c>
      <c r="F277" s="39">
        <f t="shared" si="21"/>
        <v>0.54166666666666663</v>
      </c>
      <c r="G277" s="33">
        <v>0.54166666666666663</v>
      </c>
      <c r="H277" s="33">
        <v>0.75</v>
      </c>
      <c r="I277" s="39">
        <f>IFERROR(IF(B277=VLOOKUP(B277,Feriados[],2,0),H277,IF(N277="Sáb",H277,IF(AND(B277&lt;$T$1,H277&lt;=$AA$3),$Z$3,IF(AND(N277="Sex",H277&gt;$AA$3),H277,IF(H277&lt;=$AA$3,$Z$3,IF(H277&lt;=$AA$8,$Z$8,H277)))))),IF(N277="Sáb",H277,IF(AND(B277&lt;$T$1,H277&lt;=$AA$3),$Z$3,IF(AND(N277="Sex",H277&gt;$AA$3),H277,IF(H277&lt;=$AA$3,$Z$3,IF(H277&lt;=$AA$8,$Z$8,H277))))))</f>
        <v>0.75</v>
      </c>
      <c r="J277" s="33">
        <f t="shared" si="22"/>
        <v>0.37500000000000006</v>
      </c>
      <c r="K277" s="33">
        <f>IFERROR(IF(H277="","",IF(B277=VLOOKUP(B277,Feriados[],2,0),(H277-D277)-(G277-E277),IF(D277&lt;=$Y$4,(I277-D277)-(G277-E277),(I277-C277)-(F277-E277)))),IF(AND(D277&lt;=$Y$4,F277-E277=$AB$1),(I277-D277)-(F277-E277),IF(D277&lt;$Y$4,(I277-D277)-(G277-E277),(I277-C277)-(F277-E277))))</f>
        <v>0.37500000000000006</v>
      </c>
      <c r="L277" s="40" t="str">
        <f>IF(B277=_xlfn.XLOOKUP(B277,Feriados[FE Oficial],Feriados[FE Talvez],"",0),"",IF(Q277="Compensado","",IF(AND(N277="Sex",D277&lt;$Y$4),($Z$4-D277)+$AB$1-(F277-E277)+(I277-$Z$3),IF(AND(N277="Sex",I277&gt;$Z$3),($AB$1-(F277-E277))+(I277-$Z$3),IF(AND(N277="Sex",E277&lt;&gt;"",D277&lt;$Y$4),($Z$4-D277)+$AB$1-(F277-E277)+(I277-$Z$3),IF(N277="Sáb",(I277-D277)-(G277-E277)-(S277-R277),IF(AND(B277&lt;$T$1,I277&gt;$Z$3),H277-$Z$3,IF(D277&lt;$Y$4,($Z$4-D277)+($AB$1-(F277-E277))+(I277-$Z$8)+(S277-R277),IF(AND(S277&lt;&gt;"",D277&gt;$Z$4),(S277-R277)-($AB$1-(F277-E277)),IF(AND(S277&lt;&gt;"",D277&lt;$Y$4),(S277-R277)-($AB$1-(F277-E277)+($Z$4-D277)),IF(I277&gt;$Z$8,($AB$1-(F277-E277))+(I277-$Z$8),IF(AND(N277="Sex",(F277-E277)&lt;($AB$1-$W$1)),($AB$1-(F277-E277)),IF(AND(O277&gt;($AB$1-$W$1),D277&gt;$Z$4),"",IF(AND(B277&gt;=$T$1,(F277-E277)&gt;($AB$1-$W$1)),"",IF(AND(D277&gt;=$Y$4,I277=$Z$8,S277=""),($AB$1-(F277-E277)),IF(AND(P277&lt;&gt;"",S277&lt;&gt;""),I277-$Z$8,IF(AND(P277&lt;&gt;"",D277&gt;$Y$4),$AB$1-(F277-E277),"")))))))))))))))))</f>
        <v/>
      </c>
      <c r="M277" s="107" t="str">
        <f>IFERROR(IF(H277="","",IF(B277=VLOOKUP(B277,Feriados[],2,0),(H277-D277)-(G277-E277),"")),"")</f>
        <v/>
      </c>
      <c r="N277" s="38" t="str">
        <f t="shared" si="23"/>
        <v>Seg</v>
      </c>
      <c r="O277" s="112">
        <f t="shared" si="24"/>
        <v>4.166666666666663E-2</v>
      </c>
      <c r="P277" s="113" t="str">
        <f>IF(B277=_xlfn.XLOOKUP(B277,Feriados[FE Oficial],Feriados[FE Talvez],"",0),"",IF(B277&lt;$T$1,"",IF(Q277="Consulta","",IF(Q277="Compensado","",IF(N277="Sáb","",IF(S277&lt;&gt;"",(S277-R277)-(($AB$1-O277)-(D277-$Z$4)),IF(O277&gt;$AB$1,O277-$AB$1,IF(C277&gt;$Z$4,C277-$Z$4,IF(AND(N277="Sex",G277&lt;&gt;"",H277=""),$Z$3-G277,IF(AND(G277&lt;&gt;"",H277=""),$Z$3-G277,IF(AND(N277="Sex",H277&lt;$Y$3),$Z$3-H277,IF(AND(N277&lt;&gt;"Sex",H277&gt;$AA$8),"",IF(AND(N277="Sex",H277&gt;$Z$8),"",IF(AND(N277&lt;&gt;"Sex",I277&gt;$Z$8),$Z$8-H277,IF(AND(N277&lt;&gt;"Sex",H277&lt;$Y$8),$Z$8-H277,"")))))))))))))))</f>
        <v/>
      </c>
      <c r="Q277" s="33"/>
      <c r="R277" s="33"/>
      <c r="S277" s="33"/>
    </row>
    <row r="278" spans="1:19" x14ac:dyDescent="0.25">
      <c r="A278" s="116" t="s">
        <v>204</v>
      </c>
      <c r="B278" s="32">
        <v>43879</v>
      </c>
      <c r="C278" s="39">
        <f t="shared" si="20"/>
        <v>0.33333333333333331</v>
      </c>
      <c r="D278" s="33">
        <v>0.33333333333333331</v>
      </c>
      <c r="E278" s="33">
        <v>0.5</v>
      </c>
      <c r="F278" s="39">
        <f t="shared" si="21"/>
        <v>0.54166666666666663</v>
      </c>
      <c r="G278" s="33">
        <v>0.54166666666666663</v>
      </c>
      <c r="H278" s="33">
        <v>0.75</v>
      </c>
      <c r="I278" s="39">
        <f>IFERROR(IF(B278=VLOOKUP(B278,Feriados[],2,0),H278,IF(N278="Sáb",H278,IF(AND(B278&lt;$T$1,H278&lt;=$AA$3),$Z$3,IF(AND(N278="Sex",H278&gt;$AA$3),H278,IF(H278&lt;=$AA$3,$Z$3,IF(H278&lt;=$AA$8,$Z$8,H278)))))),IF(N278="Sáb",H278,IF(AND(B278&lt;$T$1,H278&lt;=$AA$3),$Z$3,IF(AND(N278="Sex",H278&gt;$AA$3),H278,IF(H278&lt;=$AA$3,$Z$3,IF(H278&lt;=$AA$8,$Z$8,H278))))))</f>
        <v>0.75</v>
      </c>
      <c r="J278" s="33">
        <f t="shared" si="22"/>
        <v>0.37500000000000006</v>
      </c>
      <c r="K278" s="33">
        <f>IFERROR(IF(H278="","",IF(B278=VLOOKUP(B278,Feriados[],2,0),(H278-D278)-(G278-E278),IF(D278&lt;=$Y$4,(I278-D278)-(G278-E278),(I278-C278)-(F278-E278)))),IF(AND(D278&lt;=$Y$4,F278-E278=$AB$1),(I278-D278)-(F278-E278),IF(D278&lt;$Y$4,(I278-D278)-(G278-E278),(I278-C278)-(F278-E278))))</f>
        <v>0.37500000000000006</v>
      </c>
      <c r="L278" s="40" t="str">
        <f>IF(B278=_xlfn.XLOOKUP(B278,Feriados[FE Oficial],Feriados[FE Talvez],"",0),"",IF(Q278="Compensado","",IF(AND(N278="Sex",D278&lt;$Y$4),($Z$4-D278)+$AB$1-(F278-E278)+(I278-$Z$3),IF(AND(N278="Sex",I278&gt;$Z$3),($AB$1-(F278-E278))+(I278-$Z$3),IF(AND(N278="Sex",E278&lt;&gt;"",D278&lt;$Y$4),($Z$4-D278)+$AB$1-(F278-E278)+(I278-$Z$3),IF(N278="Sáb",(I278-D278)-(G278-E278)-(S278-R278),IF(AND(B278&lt;$T$1,I278&gt;$Z$3),H278-$Z$3,IF(D278&lt;$Y$4,($Z$4-D278)+($AB$1-(F278-E278))+(I278-$Z$8)+(S278-R278),IF(AND(S278&lt;&gt;"",D278&gt;$Z$4),(S278-R278)-($AB$1-(F278-E278)),IF(AND(S278&lt;&gt;"",D278&lt;$Y$4),(S278-R278)-($AB$1-(F278-E278)+($Z$4-D278)),IF(I278&gt;$Z$8,($AB$1-(F278-E278))+(I278-$Z$8),IF(AND(N278="Sex",(F278-E278)&lt;($AB$1-$W$1)),($AB$1-(F278-E278)),IF(AND(O278&gt;($AB$1-$W$1),D278&gt;$Z$4),"",IF(AND(B278&gt;=$T$1,(F278-E278)&gt;($AB$1-$W$1)),"",IF(AND(D278&gt;=$Y$4,I278=$Z$8,S278=""),($AB$1-(F278-E278)),IF(AND(P278&lt;&gt;"",S278&lt;&gt;""),I278-$Z$8,IF(AND(P278&lt;&gt;"",D278&gt;$Y$4),$AB$1-(F278-E278),"")))))))))))))))))</f>
        <v/>
      </c>
      <c r="M278" s="107" t="str">
        <f>IFERROR(IF(H278="","",IF(B278=VLOOKUP(B278,Feriados[],2,0),(H278-D278)-(G278-E278),"")),"")</f>
        <v/>
      </c>
      <c r="N278" s="38" t="str">
        <f t="shared" si="23"/>
        <v>Seg</v>
      </c>
      <c r="O278" s="112">
        <f t="shared" si="24"/>
        <v>4.166666666666663E-2</v>
      </c>
      <c r="P278" s="113" t="str">
        <f>IF(B278=_xlfn.XLOOKUP(B278,Feriados[FE Oficial],Feriados[FE Talvez],"",0),"",IF(B278&lt;$T$1,"",IF(Q278="Consulta","",IF(Q278="Compensado","",IF(N278="Sáb","",IF(S278&lt;&gt;"",(S278-R278)-(($AB$1-O278)-(D278-$Z$4)),IF(O278&gt;$AB$1,O278-$AB$1,IF(C278&gt;$Z$4,C278-$Z$4,IF(AND(N278="Sex",G278&lt;&gt;"",H278=""),$Z$3-G278,IF(AND(G278&lt;&gt;"",H278=""),$Z$3-G278,IF(AND(N278="Sex",H278&lt;$Y$3),$Z$3-H278,IF(AND(N278&lt;&gt;"Sex",H278&gt;$AA$8),"",IF(AND(N278="Sex",H278&gt;$Z$8),"",IF(AND(N278&lt;&gt;"Sex",I278&gt;$Z$8),$Z$8-H278,IF(AND(N278&lt;&gt;"Sex",H278&lt;$Y$8),$Z$8-H278,"")))))))))))))))</f>
        <v/>
      </c>
      <c r="Q278" s="33"/>
      <c r="R278" s="33"/>
      <c r="S278" s="33"/>
    </row>
    <row r="279" spans="1:19" x14ac:dyDescent="0.25">
      <c r="A279" s="116" t="s">
        <v>202</v>
      </c>
      <c r="B279" s="32">
        <v>43879</v>
      </c>
      <c r="C279" s="39">
        <f t="shared" si="20"/>
        <v>0.45347222222222222</v>
      </c>
      <c r="D279" s="33">
        <v>0.45347222222222222</v>
      </c>
      <c r="E279" s="33">
        <v>0.5</v>
      </c>
      <c r="F279" s="39">
        <f t="shared" si="21"/>
        <v>0.54166666666666663</v>
      </c>
      <c r="G279" s="33">
        <v>0.54166666666666663</v>
      </c>
      <c r="H279" s="33">
        <v>0.75</v>
      </c>
      <c r="I279" s="39">
        <f>IFERROR(IF(B279=VLOOKUP(B279,Feriados[],2,0),H279,IF(N279="Sáb",H279,IF(AND(B279&lt;$T$1,H279&lt;=$AA$3),$Z$3,IF(AND(N279="Sex",H279&gt;$AA$3),H279,IF(H279&lt;=$AA$3,$Z$3,IF(H279&lt;=$AA$8,$Z$8,H279)))))),IF(N279="Sáb",H279,IF(AND(B279&lt;$T$1,H279&lt;=$AA$3),$Z$3,IF(AND(N279="Sex",H279&gt;$AA$3),H279,IF(H279&lt;=$AA$3,$Z$3,IF(H279&lt;=$AA$8,$Z$8,H279))))))</f>
        <v>0.75</v>
      </c>
      <c r="J279" s="33">
        <f t="shared" si="22"/>
        <v>0.25486111111111115</v>
      </c>
      <c r="K279" s="33">
        <f>IFERROR(IF(H279="","",IF(B279=VLOOKUP(B279,Feriados[],2,0),(H279-D279)-(G279-E279),IF(D279&lt;=$Y$4,(I279-D279)-(G279-E279),(I279-C279)-(F279-E279)))),IF(AND(D279&lt;=$Y$4,F279-E279=$AB$1),(I279-D279)-(F279-E279),IF(D279&lt;$Y$4,(I279-D279)-(G279-E279),(I279-C279)-(F279-E279))))</f>
        <v>0.25486111111111115</v>
      </c>
      <c r="L279" s="40" t="str">
        <f>IF(B279=_xlfn.XLOOKUP(B279,Feriados[FE Oficial],Feriados[FE Talvez],"",0),"",IF(Q279="Compensado","",IF(AND(N279="Sex",D279&lt;$Y$4),($Z$4-D279)+$AB$1-(F279-E279)+(I279-$Z$3),IF(AND(N279="Sex",I279&gt;$Z$3),($AB$1-(F279-E279))+(I279-$Z$3),IF(AND(N279="Sex",E279&lt;&gt;"",D279&lt;$Y$4),($Z$4-D279)+$AB$1-(F279-E279)+(I279-$Z$3),IF(N279="Sáb",(I279-D279)-(G279-E279)-(S279-R279),IF(AND(B279&lt;$T$1,I279&gt;$Z$3),H279-$Z$3,IF(D279&lt;$Y$4,($Z$4-D279)+($AB$1-(F279-E279))+(I279-$Z$8)+(S279-R279),IF(AND(S279&lt;&gt;"",D279&gt;$Z$4),(S279-R279)-($AB$1-(F279-E279)),IF(AND(S279&lt;&gt;"",D279&lt;$Y$4),(S279-R279)-($AB$1-(F279-E279)+($Z$4-D279)),IF(I279&gt;$Z$8,($AB$1-(F279-E279))+(I279-$Z$8),IF(AND(N279="Sex",(F279-E279)&lt;($AB$1-$W$1)),($AB$1-(F279-E279)),IF(AND(O279&gt;($AB$1-$W$1),D279&gt;$Z$4),"",IF(AND(B279&gt;=$T$1,(F279-E279)&gt;($AB$1-$W$1)),"",IF(AND(D279&gt;=$Y$4,I279=$Z$8,S279=""),($AB$1-(F279-E279)),IF(AND(P279&lt;&gt;"",S279&lt;&gt;""),I279-$Z$8,IF(AND(P279&lt;&gt;"",D279&gt;$Y$4),$AB$1-(F279-E279),"")))))))))))))))))</f>
        <v/>
      </c>
      <c r="M279" s="107" t="str">
        <f>IFERROR(IF(H279="","",IF(B279=VLOOKUP(B279,Feriados[],2,0),(H279-D279)-(G279-E279),"")),"")</f>
        <v/>
      </c>
      <c r="N279" s="38" t="str">
        <f t="shared" si="23"/>
        <v>Seg</v>
      </c>
      <c r="O279" s="112">
        <f t="shared" si="24"/>
        <v>4.166666666666663E-2</v>
      </c>
      <c r="P279" s="113" t="str">
        <f>IF(B279=_xlfn.XLOOKUP(B279,Feriados[FE Oficial],Feriados[FE Talvez],"",0),"",IF(B279&lt;$T$1,"",IF(Q279="Consulta","",IF(Q279="Compensado","",IF(N279="Sáb","",IF(S279&lt;&gt;"",(S279-R279)-(($AB$1-O279)-(D279-$Z$4)),IF(O279&gt;$AB$1,O279-$AB$1,IF(C279&gt;$Z$4,C279-$Z$4,IF(AND(N279="Sex",G279&lt;&gt;"",H279=""),$Z$3-G279,IF(AND(G279&lt;&gt;"",H279=""),$Z$3-G279,IF(AND(N279="Sex",H279&lt;$Y$3),$Z$3-H279,IF(AND(N279&lt;&gt;"Sex",H279&gt;$AA$8),"",IF(AND(N279="Sex",H279&gt;$Z$8),"",IF(AND(N279&lt;&gt;"Sex",I279&gt;$Z$8),$Z$8-H279,IF(AND(N279&lt;&gt;"Sex",H279&lt;$Y$8),$Z$8-H279,"")))))))))))))))</f>
        <v/>
      </c>
      <c r="Q279" s="33" t="s">
        <v>201</v>
      </c>
      <c r="R279" s="33"/>
      <c r="S279" s="33"/>
    </row>
    <row r="280" spans="1:19" x14ac:dyDescent="0.25">
      <c r="A280" s="116" t="s">
        <v>203</v>
      </c>
      <c r="B280" s="32">
        <v>43879</v>
      </c>
      <c r="C280" s="39">
        <f t="shared" si="20"/>
        <v>0.45347222222222222</v>
      </c>
      <c r="D280" s="33">
        <v>0.45347222222222222</v>
      </c>
      <c r="E280" s="33">
        <v>0.5</v>
      </c>
      <c r="F280" s="39">
        <f t="shared" si="21"/>
        <v>0.54166666666666663</v>
      </c>
      <c r="G280" s="33">
        <v>0.54166666666666663</v>
      </c>
      <c r="H280" s="33">
        <v>0.75</v>
      </c>
      <c r="I280" s="39">
        <f>IFERROR(IF(B280=VLOOKUP(B280,Feriados[],2,0),H280,IF(N280="Sáb",H280,IF(AND(B280&lt;$T$1,H280&lt;=$AA$3),$Z$3,IF(AND(N280="Sex",H280&gt;$AA$3),H280,IF(H280&lt;=$AA$3,$Z$3,IF(H280&lt;=$AA$8,$Z$8,H280)))))),IF(N280="Sáb",H280,IF(AND(B280&lt;$T$1,H280&lt;=$AA$3),$Z$3,IF(AND(N280="Sex",H280&gt;$AA$3),H280,IF(H280&lt;=$AA$3,$Z$3,IF(H280&lt;=$AA$8,$Z$8,H280))))))</f>
        <v>0.75</v>
      </c>
      <c r="J280" s="33">
        <f t="shared" si="22"/>
        <v>0.25486111111111115</v>
      </c>
      <c r="K280" s="33">
        <f>IFERROR(IF(H280="","",IF(B280=VLOOKUP(B280,Feriados[],2,0),(H280-D280)-(G280-E280),IF(D280&lt;=$Y$4,(I280-D280)-(G280-E280),(I280-C280)-(F280-E280)))),IF(AND(D280&lt;=$Y$4,F280-E280=$AB$1),(I280-D280)-(F280-E280),IF(D280&lt;$Y$4,(I280-D280)-(G280-E280),(I280-C280)-(F280-E280))))</f>
        <v>0.25486111111111115</v>
      </c>
      <c r="L280" s="40" t="str">
        <f>IF(B280=_xlfn.XLOOKUP(B280,Feriados[FE Oficial],Feriados[FE Talvez],"",0),"",IF(Q280="Compensado","",IF(AND(N280="Sex",D280&lt;$Y$4),($Z$4-D280)+$AB$1-(F280-E280)+(I280-$Z$3),IF(AND(N280="Sex",I280&gt;$Z$3),($AB$1-(F280-E280))+(I280-$Z$3),IF(AND(N280="Sex",E280&lt;&gt;"",D280&lt;$Y$4),($Z$4-D280)+$AB$1-(F280-E280)+(I280-$Z$3),IF(N280="Sáb",(I280-D280)-(G280-E280)-(S280-R280),IF(AND(B280&lt;$T$1,I280&gt;$Z$3),H280-$Z$3,IF(D280&lt;$Y$4,($Z$4-D280)+($AB$1-(F280-E280))+(I280-$Z$8)+(S280-R280),IF(AND(S280&lt;&gt;"",D280&gt;$Z$4),(S280-R280)-($AB$1-(F280-E280)),IF(AND(S280&lt;&gt;"",D280&lt;$Y$4),(S280-R280)-($AB$1-(F280-E280)+($Z$4-D280)),IF(I280&gt;$Z$8,($AB$1-(F280-E280))+(I280-$Z$8),IF(AND(N280="Sex",(F280-E280)&lt;($AB$1-$W$1)),($AB$1-(F280-E280)),IF(AND(O280&gt;($AB$1-$W$1),D280&gt;$Z$4),"",IF(AND(B280&gt;=$T$1,(F280-E280)&gt;($AB$1-$W$1)),"",IF(AND(D280&gt;=$Y$4,I280=$Z$8,S280=""),($AB$1-(F280-E280)),IF(AND(P280&lt;&gt;"",S280&lt;&gt;""),I280-$Z$8,IF(AND(P280&lt;&gt;"",D280&gt;$Y$4),$AB$1-(F280-E280),"")))))))))))))))))</f>
        <v/>
      </c>
      <c r="M280" s="107" t="str">
        <f>IFERROR(IF(H280="","",IF(B280=VLOOKUP(B280,Feriados[],2,0),(H280-D280)-(G280-E280),"")),"")</f>
        <v/>
      </c>
      <c r="N280" s="38" t="str">
        <f t="shared" si="23"/>
        <v>Seg</v>
      </c>
      <c r="O280" s="112">
        <f t="shared" si="24"/>
        <v>4.166666666666663E-2</v>
      </c>
      <c r="P280" s="113" t="str">
        <f>IF(B280=_xlfn.XLOOKUP(B280,Feriados[FE Oficial],Feriados[FE Talvez],"",0),"",IF(B280&lt;$T$1,"",IF(Q280="Consulta","",IF(Q280="Compensado","",IF(N280="Sáb","",IF(S280&lt;&gt;"",(S280-R280)-(($AB$1-O280)-(D280-$Z$4)),IF(O280&gt;$AB$1,O280-$AB$1,IF(C280&gt;$Z$4,C280-$Z$4,IF(AND(N280="Sex",G280&lt;&gt;"",H280=""),$Z$3-G280,IF(AND(G280&lt;&gt;"",H280=""),$Z$3-G280,IF(AND(N280="Sex",H280&lt;$Y$3),$Z$3-H280,IF(AND(N280&lt;&gt;"Sex",H280&gt;$AA$8),"",IF(AND(N280="Sex",H280&gt;$Z$8),"",IF(AND(N280&lt;&gt;"Sex",I280&gt;$Z$8),$Z$8-H280,IF(AND(N280&lt;&gt;"Sex",H280&lt;$Y$8),$Z$8-H280,"")))))))))))))))</f>
        <v/>
      </c>
      <c r="Q280" s="33" t="s">
        <v>201</v>
      </c>
      <c r="R280" s="33"/>
      <c r="S280" s="33"/>
    </row>
    <row r="281" spans="1:19" x14ac:dyDescent="0.25">
      <c r="A281" s="115" t="s">
        <v>191</v>
      </c>
      <c r="B281" s="32">
        <v>43880</v>
      </c>
      <c r="C281" s="39">
        <f t="shared" si="20"/>
        <v>0.33333333333333331</v>
      </c>
      <c r="D281" s="33">
        <v>0.32569444444444445</v>
      </c>
      <c r="E281" s="33">
        <v>0.5</v>
      </c>
      <c r="F281" s="39">
        <f t="shared" si="21"/>
        <v>0.54166666666666663</v>
      </c>
      <c r="G281" s="33">
        <v>0.54166666666666663</v>
      </c>
      <c r="H281" s="33">
        <v>0.75</v>
      </c>
      <c r="I281" s="39">
        <f>IFERROR(IF(B281=VLOOKUP(B281,Feriados[],2,0),H281,IF(N281="Sáb",H281,IF(AND(B281&lt;$T$1,H281&lt;=$AA$3),$Z$3,IF(AND(N281="Sex",H281&gt;$AA$3),H281,IF(H281&lt;=$AA$3,$Z$3,IF(H281&lt;=$AA$8,$Z$8,H281)))))),IF(N281="Sáb",H281,IF(AND(B281&lt;$T$1,H281&lt;=$AA$3),$Z$3,IF(AND(N281="Sex",H281&gt;$AA$3),H281,IF(H281&lt;=$AA$3,$Z$3,IF(H281&lt;=$AA$8,$Z$8,H281))))))</f>
        <v>0.75</v>
      </c>
      <c r="J281" s="33">
        <f t="shared" si="22"/>
        <v>0.375</v>
      </c>
      <c r="K281" s="33">
        <f>IFERROR(IF(H281="","",IF(B281=VLOOKUP(B281,Feriados[],2,0),(H281-D281)-(G281-E281),IF(D281&lt;=$Y$4,(I281-D281)-(G281-E281),(I281-C281)-(F281-E281)))),IF(AND(D281&lt;=$Y$4,F281-E281=$AB$1),(I281-D281)-(F281-E281),IF(D281&lt;$Y$4,(I281-D281)-(G281-E281),(I281-C281)-(F281-E281))))</f>
        <v>0.38263888888888892</v>
      </c>
      <c r="L281" s="40">
        <f>IF(B281=_xlfn.XLOOKUP(B281,Feriados[FE Oficial],Feriados[FE Talvez],"",0),"",IF(Q281="Compensado","",IF(AND(N281="Sex",D281&lt;$Y$4),($Z$4-D281)+$AB$1-(F281-E281)+(I281-$Z$3),IF(AND(N281="Sex",I281&gt;$Z$3),($AB$1-(F281-E281))+(I281-$Z$3),IF(AND(N281="Sex",E281&lt;&gt;"",D281&lt;$Y$4),($Z$4-D281)+$AB$1-(F281-E281)+(I281-$Z$3),IF(N281="Sáb",(I281-D281)-(G281-E281)-(S281-R281),IF(AND(B281&lt;$T$1,I281&gt;$Z$3),H281-$Z$3,IF(D281&lt;$Y$4,($Z$4-D281)+($AB$1-(F281-E281))+(I281-$Z$8)+(S281-R281),IF(AND(S281&lt;&gt;"",D281&gt;$Z$4),(S281-R281)-($AB$1-(F281-E281)),IF(AND(S281&lt;&gt;"",D281&lt;$Y$4),(S281-R281)-($AB$1-(F281-E281)+($Z$4-D281)),IF(I281&gt;$Z$8,($AB$1-(F281-E281))+(I281-$Z$8),IF(AND(N281="Sex",(F281-E281)&lt;($AB$1-$W$1)),($AB$1-(F281-E281)),IF(AND(O281&gt;($AB$1-$W$1),D281&gt;$Z$4),"",IF(AND(B281&gt;=$T$1,(F281-E281)&gt;($AB$1-$W$1)),"",IF(AND(D281&gt;=$Y$4,I281=$Z$8,S281=""),($AB$1-(F281-E281)),IF(AND(P281&lt;&gt;"",S281&lt;&gt;""),I281-$Z$8,IF(AND(P281&lt;&gt;"",D281&gt;$Y$4),$AB$1-(F281-E281),"")))))))))))))))))</f>
        <v>7.6388888888888964E-3</v>
      </c>
      <c r="M281" s="107" t="str">
        <f>IFERROR(IF(H281="","",IF(B281=VLOOKUP(B281,Feriados[],2,0),(H281-D281)-(G281-E281),"")),"")</f>
        <v/>
      </c>
      <c r="N281" s="38" t="str">
        <f t="shared" si="23"/>
        <v>Ter</v>
      </c>
      <c r="O281" s="112">
        <f t="shared" si="24"/>
        <v>4.166666666666663E-2</v>
      </c>
      <c r="P281" s="113" t="str">
        <f>IF(B281=_xlfn.XLOOKUP(B281,Feriados[FE Oficial],Feriados[FE Talvez],"",0),"",IF(B281&lt;$T$1,"",IF(Q281="Consulta","",IF(Q281="Compensado","",IF(N281="Sáb","",IF(S281&lt;&gt;"",(S281-R281)-(($AB$1-O281)-(D281-$Z$4)),IF(O281&gt;$AB$1,O281-$AB$1,IF(C281&gt;$Z$4,C281-$Z$4,IF(AND(N281="Sex",G281&lt;&gt;"",H281=""),$Z$3-G281,IF(AND(G281&lt;&gt;"",H281=""),$Z$3-G281,IF(AND(N281="Sex",H281&lt;$Y$3),$Z$3-H281,IF(AND(N281&lt;&gt;"Sex",H281&gt;$AA$8),"",IF(AND(N281="Sex",H281&gt;$Z$8),"",IF(AND(N281&lt;&gt;"Sex",I281&gt;$Z$8),$Z$8-H281,IF(AND(N281&lt;&gt;"Sex",H281&lt;$Y$8),$Z$8-H281,"")))))))))))))))</f>
        <v/>
      </c>
      <c r="Q281" s="33"/>
      <c r="R281" s="33"/>
      <c r="S281" s="33"/>
    </row>
    <row r="282" spans="1:19" x14ac:dyDescent="0.25">
      <c r="A282" s="116" t="s">
        <v>204</v>
      </c>
      <c r="B282" s="32">
        <v>43880</v>
      </c>
      <c r="C282" s="39">
        <f t="shared" si="20"/>
        <v>0.33333333333333331</v>
      </c>
      <c r="D282" s="33">
        <v>0.32569444444444445</v>
      </c>
      <c r="E282" s="33">
        <v>0.5</v>
      </c>
      <c r="F282" s="39">
        <f t="shared" si="21"/>
        <v>0.54166666666666663</v>
      </c>
      <c r="G282" s="33">
        <v>0.54166666666666663</v>
      </c>
      <c r="H282" s="33">
        <v>0.75</v>
      </c>
      <c r="I282" s="39">
        <f>IFERROR(IF(B282=VLOOKUP(B282,Feriados[],2,0),H282,IF(N282="Sáb",H282,IF(AND(B282&lt;$T$1,H282&lt;=$AA$3),$Z$3,IF(AND(N282="Sex",H282&gt;$AA$3),H282,IF(H282&lt;=$AA$3,$Z$3,IF(H282&lt;=$AA$8,$Z$8,H282)))))),IF(N282="Sáb",H282,IF(AND(B282&lt;$T$1,H282&lt;=$AA$3),$Z$3,IF(AND(N282="Sex",H282&gt;$AA$3),H282,IF(H282&lt;=$AA$3,$Z$3,IF(H282&lt;=$AA$8,$Z$8,H282))))))</f>
        <v>0.75</v>
      </c>
      <c r="J282" s="33">
        <f t="shared" si="22"/>
        <v>0.375</v>
      </c>
      <c r="K282" s="33">
        <f>IFERROR(IF(H282="","",IF(B282=VLOOKUP(B282,Feriados[],2,0),(H282-D282)-(G282-E282),IF(D282&lt;=$Y$4,(I282-D282)-(G282-E282),(I282-C282)-(F282-E282)))),IF(AND(D282&lt;=$Y$4,F282-E282=$AB$1),(I282-D282)-(F282-E282),IF(D282&lt;$Y$4,(I282-D282)-(G282-E282),(I282-C282)-(F282-E282))))</f>
        <v>0.38263888888888892</v>
      </c>
      <c r="L282" s="40">
        <f>IF(B282=_xlfn.XLOOKUP(B282,Feriados[FE Oficial],Feriados[FE Talvez],"",0),"",IF(Q282="Compensado","",IF(AND(N282="Sex",D282&lt;$Y$4),($Z$4-D282)+$AB$1-(F282-E282)+(I282-$Z$3),IF(AND(N282="Sex",I282&gt;$Z$3),($AB$1-(F282-E282))+(I282-$Z$3),IF(AND(N282="Sex",E282&lt;&gt;"",D282&lt;$Y$4),($Z$4-D282)+$AB$1-(F282-E282)+(I282-$Z$3),IF(N282="Sáb",(I282-D282)-(G282-E282)-(S282-R282),IF(AND(B282&lt;$T$1,I282&gt;$Z$3),H282-$Z$3,IF(D282&lt;$Y$4,($Z$4-D282)+($AB$1-(F282-E282))+(I282-$Z$8)+(S282-R282),IF(AND(S282&lt;&gt;"",D282&gt;$Z$4),(S282-R282)-($AB$1-(F282-E282)),IF(AND(S282&lt;&gt;"",D282&lt;$Y$4),(S282-R282)-($AB$1-(F282-E282)+($Z$4-D282)),IF(I282&gt;$Z$8,($AB$1-(F282-E282))+(I282-$Z$8),IF(AND(N282="Sex",(F282-E282)&lt;($AB$1-$W$1)),($AB$1-(F282-E282)),IF(AND(O282&gt;($AB$1-$W$1),D282&gt;$Z$4),"",IF(AND(B282&gt;=$T$1,(F282-E282)&gt;($AB$1-$W$1)),"",IF(AND(D282&gt;=$Y$4,I282=$Z$8,S282=""),($AB$1-(F282-E282)),IF(AND(P282&lt;&gt;"",S282&lt;&gt;""),I282-$Z$8,IF(AND(P282&lt;&gt;"",D282&gt;$Y$4),$AB$1-(F282-E282),"")))))))))))))))))</f>
        <v>7.6388888888888964E-3</v>
      </c>
      <c r="M282" s="107" t="str">
        <f>IFERROR(IF(H282="","",IF(B282=VLOOKUP(B282,Feriados[],2,0),(H282-D282)-(G282-E282),"")),"")</f>
        <v/>
      </c>
      <c r="N282" s="38" t="str">
        <f t="shared" si="23"/>
        <v>Ter</v>
      </c>
      <c r="O282" s="112">
        <f t="shared" si="24"/>
        <v>4.166666666666663E-2</v>
      </c>
      <c r="P282" s="113" t="str">
        <f>IF(B282=_xlfn.XLOOKUP(B282,Feriados[FE Oficial],Feriados[FE Talvez],"",0),"",IF(B282&lt;$T$1,"",IF(Q282="Consulta","",IF(Q282="Compensado","",IF(N282="Sáb","",IF(S282&lt;&gt;"",(S282-R282)-(($AB$1-O282)-(D282-$Z$4)),IF(O282&gt;$AB$1,O282-$AB$1,IF(C282&gt;$Z$4,C282-$Z$4,IF(AND(N282="Sex",G282&lt;&gt;"",H282=""),$Z$3-G282,IF(AND(G282&lt;&gt;"",H282=""),$Z$3-G282,IF(AND(N282="Sex",H282&lt;$Y$3),$Z$3-H282,IF(AND(N282&lt;&gt;"Sex",H282&gt;$AA$8),"",IF(AND(N282="Sex",H282&gt;$Z$8),"",IF(AND(N282&lt;&gt;"Sex",I282&gt;$Z$8),$Z$8-H282,IF(AND(N282&lt;&gt;"Sex",H282&lt;$Y$8),$Z$8-H282,"")))))))))))))))</f>
        <v/>
      </c>
      <c r="Q282" s="33"/>
      <c r="R282" s="33"/>
      <c r="S282" s="33"/>
    </row>
    <row r="283" spans="1:19" x14ac:dyDescent="0.25">
      <c r="A283" s="116" t="s">
        <v>202</v>
      </c>
      <c r="B283" s="32">
        <v>43880</v>
      </c>
      <c r="C283" s="39">
        <f t="shared" si="20"/>
        <v>0.33333333333333331</v>
      </c>
      <c r="D283" s="33">
        <v>0.32569444444444445</v>
      </c>
      <c r="E283" s="33">
        <v>0.5</v>
      </c>
      <c r="F283" s="39">
        <f t="shared" si="21"/>
        <v>0.54166666666666663</v>
      </c>
      <c r="G283" s="33">
        <v>0.54166666666666663</v>
      </c>
      <c r="H283" s="33">
        <v>0.75</v>
      </c>
      <c r="I283" s="39">
        <f>IFERROR(IF(B283=VLOOKUP(B283,Feriados[],2,0),H283,IF(N283="Sáb",H283,IF(AND(B283&lt;$T$1,H283&lt;=$AA$3),$Z$3,IF(AND(N283="Sex",H283&gt;$AA$3),H283,IF(H283&lt;=$AA$3,$Z$3,IF(H283&lt;=$AA$8,$Z$8,H283)))))),IF(N283="Sáb",H283,IF(AND(B283&lt;$T$1,H283&lt;=$AA$3),$Z$3,IF(AND(N283="Sex",H283&gt;$AA$3),H283,IF(H283&lt;=$AA$3,$Z$3,IF(H283&lt;=$AA$8,$Z$8,H283))))))</f>
        <v>0.75</v>
      </c>
      <c r="J283" s="33">
        <f t="shared" si="22"/>
        <v>0.375</v>
      </c>
      <c r="K283" s="33">
        <f>IFERROR(IF(H283="","",IF(B283=VLOOKUP(B283,Feriados[],2,0),(H283-D283)-(G283-E283),IF(D283&lt;=$Y$4,(I283-D283)-(G283-E283),(I283-C283)-(F283-E283)))),IF(AND(D283&lt;=$Y$4,F283-E283=$AB$1),(I283-D283)-(F283-E283),IF(D283&lt;$Y$4,(I283-D283)-(G283-E283),(I283-C283)-(F283-E283))))</f>
        <v>0.38263888888888892</v>
      </c>
      <c r="L283" s="40">
        <f>IF(B283=_xlfn.XLOOKUP(B283,Feriados[FE Oficial],Feriados[FE Talvez],"",0),"",IF(Q283="Compensado","",IF(AND(N283="Sex",D283&lt;$Y$4),($Z$4-D283)+$AB$1-(F283-E283)+(I283-$Z$3),IF(AND(N283="Sex",I283&gt;$Z$3),($AB$1-(F283-E283))+(I283-$Z$3),IF(AND(N283="Sex",E283&lt;&gt;"",D283&lt;$Y$4),($Z$4-D283)+$AB$1-(F283-E283)+(I283-$Z$3),IF(N283="Sáb",(I283-D283)-(G283-E283)-(S283-R283),IF(AND(B283&lt;$T$1,I283&gt;$Z$3),H283-$Z$3,IF(D283&lt;$Y$4,($Z$4-D283)+($AB$1-(F283-E283))+(I283-$Z$8)+(S283-R283),IF(AND(S283&lt;&gt;"",D283&gt;$Z$4),(S283-R283)-($AB$1-(F283-E283)),IF(AND(S283&lt;&gt;"",D283&lt;$Y$4),(S283-R283)-($AB$1-(F283-E283)+($Z$4-D283)),IF(I283&gt;$Z$8,($AB$1-(F283-E283))+(I283-$Z$8),IF(AND(N283="Sex",(F283-E283)&lt;($AB$1-$W$1)),($AB$1-(F283-E283)),IF(AND(O283&gt;($AB$1-$W$1),D283&gt;$Z$4),"",IF(AND(B283&gt;=$T$1,(F283-E283)&gt;($AB$1-$W$1)),"",IF(AND(D283&gt;=$Y$4,I283=$Z$8,S283=""),($AB$1-(F283-E283)),IF(AND(P283&lt;&gt;"",S283&lt;&gt;""),I283-$Z$8,IF(AND(P283&lt;&gt;"",D283&gt;$Y$4),$AB$1-(F283-E283),"")))))))))))))))))</f>
        <v>7.6388888888888964E-3</v>
      </c>
      <c r="M283" s="107" t="str">
        <f>IFERROR(IF(H283="","",IF(B283=VLOOKUP(B283,Feriados[],2,0),(H283-D283)-(G283-E283),"")),"")</f>
        <v/>
      </c>
      <c r="N283" s="38" t="str">
        <f t="shared" si="23"/>
        <v>Ter</v>
      </c>
      <c r="O283" s="112">
        <f t="shared" si="24"/>
        <v>4.166666666666663E-2</v>
      </c>
      <c r="P283" s="113" t="str">
        <f>IF(B283=_xlfn.XLOOKUP(B283,Feriados[FE Oficial],Feriados[FE Talvez],"",0),"",IF(B283&lt;$T$1,"",IF(Q283="Consulta","",IF(Q283="Compensado","",IF(N283="Sáb","",IF(S283&lt;&gt;"",(S283-R283)-(($AB$1-O283)-(D283-$Z$4)),IF(O283&gt;$AB$1,O283-$AB$1,IF(C283&gt;$Z$4,C283-$Z$4,IF(AND(N283="Sex",G283&lt;&gt;"",H283=""),$Z$3-G283,IF(AND(G283&lt;&gt;"",H283=""),$Z$3-G283,IF(AND(N283="Sex",H283&lt;$Y$3),$Z$3-H283,IF(AND(N283&lt;&gt;"Sex",H283&gt;$AA$8),"",IF(AND(N283="Sex",H283&gt;$Z$8),"",IF(AND(N283&lt;&gt;"Sex",I283&gt;$Z$8),$Z$8-H283,IF(AND(N283&lt;&gt;"Sex",H283&lt;$Y$8),$Z$8-H283,"")))))))))))))))</f>
        <v/>
      </c>
      <c r="Q283" s="33"/>
      <c r="R283" s="33"/>
      <c r="S283" s="33"/>
    </row>
    <row r="284" spans="1:19" x14ac:dyDescent="0.25">
      <c r="A284" s="116" t="s">
        <v>203</v>
      </c>
      <c r="B284" s="32">
        <v>43880</v>
      </c>
      <c r="C284" s="39">
        <f t="shared" si="20"/>
        <v>0.33333333333333331</v>
      </c>
      <c r="D284" s="33">
        <v>0.32569444444444445</v>
      </c>
      <c r="E284" s="33">
        <v>0.5</v>
      </c>
      <c r="F284" s="39">
        <f t="shared" si="21"/>
        <v>0.54166666666666663</v>
      </c>
      <c r="G284" s="33">
        <v>0.54166666666666663</v>
      </c>
      <c r="H284" s="33">
        <v>0.75</v>
      </c>
      <c r="I284" s="39">
        <f>IFERROR(IF(B284=VLOOKUP(B284,Feriados[],2,0),H284,IF(N284="Sáb",H284,IF(AND(B284&lt;$T$1,H284&lt;=$AA$3),$Z$3,IF(AND(N284="Sex",H284&gt;$AA$3),H284,IF(H284&lt;=$AA$3,$Z$3,IF(H284&lt;=$AA$8,$Z$8,H284)))))),IF(N284="Sáb",H284,IF(AND(B284&lt;$T$1,H284&lt;=$AA$3),$Z$3,IF(AND(N284="Sex",H284&gt;$AA$3),H284,IF(H284&lt;=$AA$3,$Z$3,IF(H284&lt;=$AA$8,$Z$8,H284))))))</f>
        <v>0.75</v>
      </c>
      <c r="J284" s="33">
        <f t="shared" si="22"/>
        <v>0.375</v>
      </c>
      <c r="K284" s="33">
        <f>IFERROR(IF(H284="","",IF(B284=VLOOKUP(B284,Feriados[],2,0),(H284-D284)-(G284-E284),IF(D284&lt;=$Y$4,(I284-D284)-(G284-E284),(I284-C284)-(F284-E284)))),IF(AND(D284&lt;=$Y$4,F284-E284=$AB$1),(I284-D284)-(F284-E284),IF(D284&lt;$Y$4,(I284-D284)-(G284-E284),(I284-C284)-(F284-E284))))</f>
        <v>0.38263888888888892</v>
      </c>
      <c r="L284" s="40">
        <f>IF(B284=_xlfn.XLOOKUP(B284,Feriados[FE Oficial],Feriados[FE Talvez],"",0),"",IF(Q284="Compensado","",IF(AND(N284="Sex",D284&lt;$Y$4),($Z$4-D284)+$AB$1-(F284-E284)+(I284-$Z$3),IF(AND(N284="Sex",I284&gt;$Z$3),($AB$1-(F284-E284))+(I284-$Z$3),IF(AND(N284="Sex",E284&lt;&gt;"",D284&lt;$Y$4),($Z$4-D284)+$AB$1-(F284-E284)+(I284-$Z$3),IF(N284="Sáb",(I284-D284)-(G284-E284)-(S284-R284),IF(AND(B284&lt;$T$1,I284&gt;$Z$3),H284-$Z$3,IF(D284&lt;$Y$4,($Z$4-D284)+($AB$1-(F284-E284))+(I284-$Z$8)+(S284-R284),IF(AND(S284&lt;&gt;"",D284&gt;$Z$4),(S284-R284)-($AB$1-(F284-E284)),IF(AND(S284&lt;&gt;"",D284&lt;$Y$4),(S284-R284)-($AB$1-(F284-E284)+($Z$4-D284)),IF(I284&gt;$Z$8,($AB$1-(F284-E284))+(I284-$Z$8),IF(AND(N284="Sex",(F284-E284)&lt;($AB$1-$W$1)),($AB$1-(F284-E284)),IF(AND(O284&gt;($AB$1-$W$1),D284&gt;$Z$4),"",IF(AND(B284&gt;=$T$1,(F284-E284)&gt;($AB$1-$W$1)),"",IF(AND(D284&gt;=$Y$4,I284=$Z$8,S284=""),($AB$1-(F284-E284)),IF(AND(P284&lt;&gt;"",S284&lt;&gt;""),I284-$Z$8,IF(AND(P284&lt;&gt;"",D284&gt;$Y$4),$AB$1-(F284-E284),"")))))))))))))))))</f>
        <v>7.6388888888888964E-3</v>
      </c>
      <c r="M284" s="107" t="str">
        <f>IFERROR(IF(H284="","",IF(B284=VLOOKUP(B284,Feriados[],2,0),(H284-D284)-(G284-E284),"")),"")</f>
        <v/>
      </c>
      <c r="N284" s="38" t="str">
        <f t="shared" si="23"/>
        <v>Ter</v>
      </c>
      <c r="O284" s="112">
        <f t="shared" si="24"/>
        <v>4.166666666666663E-2</v>
      </c>
      <c r="P284" s="113" t="str">
        <f>IF(B284=_xlfn.XLOOKUP(B284,Feriados[FE Oficial],Feriados[FE Talvez],"",0),"",IF(B284&lt;$T$1,"",IF(Q284="Consulta","",IF(Q284="Compensado","",IF(N284="Sáb","",IF(S284&lt;&gt;"",(S284-R284)-(($AB$1-O284)-(D284-$Z$4)),IF(O284&gt;$AB$1,O284-$AB$1,IF(C284&gt;$Z$4,C284-$Z$4,IF(AND(N284="Sex",G284&lt;&gt;"",H284=""),$Z$3-G284,IF(AND(G284&lt;&gt;"",H284=""),$Z$3-G284,IF(AND(N284="Sex",H284&lt;$Y$3),$Z$3-H284,IF(AND(N284&lt;&gt;"Sex",H284&gt;$AA$8),"",IF(AND(N284="Sex",H284&gt;$Z$8),"",IF(AND(N284&lt;&gt;"Sex",I284&gt;$Z$8),$Z$8-H284,IF(AND(N284&lt;&gt;"Sex",H284&lt;$Y$8),$Z$8-H284,"")))))))))))))))</f>
        <v/>
      </c>
      <c r="Q284" s="33"/>
      <c r="R284" s="33"/>
      <c r="S284" s="33"/>
    </row>
    <row r="285" spans="1:19" x14ac:dyDescent="0.25">
      <c r="A285" s="115" t="s">
        <v>191</v>
      </c>
      <c r="B285" s="32">
        <v>43881</v>
      </c>
      <c r="C285" s="39">
        <f t="shared" si="20"/>
        <v>0.33333333333333331</v>
      </c>
      <c r="D285" s="33">
        <v>0.33333333333333331</v>
      </c>
      <c r="E285" s="33">
        <v>0.5</v>
      </c>
      <c r="F285" s="39">
        <f t="shared" si="21"/>
        <v>0.54166666666666663</v>
      </c>
      <c r="G285" s="33">
        <v>0.54166666666666663</v>
      </c>
      <c r="H285" s="33">
        <v>0.75</v>
      </c>
      <c r="I285" s="39">
        <f>IFERROR(IF(B285=VLOOKUP(B285,Feriados[],2,0),H285,IF(N285="Sáb",H285,IF(AND(B285&lt;$T$1,H285&lt;=$AA$3),$Z$3,IF(AND(N285="Sex",H285&gt;$AA$3),H285,IF(H285&lt;=$AA$3,$Z$3,IF(H285&lt;=$AA$8,$Z$8,H285)))))),IF(N285="Sáb",H285,IF(AND(B285&lt;$T$1,H285&lt;=$AA$3),$Z$3,IF(AND(N285="Sex",H285&gt;$AA$3),H285,IF(H285&lt;=$AA$3,$Z$3,IF(H285&lt;=$AA$8,$Z$8,H285))))))</f>
        <v>0.75</v>
      </c>
      <c r="J285" s="33">
        <f t="shared" si="22"/>
        <v>0.37500000000000006</v>
      </c>
      <c r="K285" s="33">
        <f>IFERROR(IF(H285="","",IF(B285=VLOOKUP(B285,Feriados[],2,0),(H285-D285)-(G285-E285),IF(D285&lt;=$Y$4,(I285-D285)-(G285-E285),(I285-C285)-(F285-E285)))),IF(AND(D285&lt;=$Y$4,F285-E285=$AB$1),(I285-D285)-(F285-E285),IF(D285&lt;$Y$4,(I285-D285)-(G285-E285),(I285-C285)-(F285-E285))))</f>
        <v>0.37500000000000006</v>
      </c>
      <c r="L285" s="40" t="str">
        <f>IF(B285=_xlfn.XLOOKUP(B285,Feriados[FE Oficial],Feriados[FE Talvez],"",0),"",IF(Q285="Compensado","",IF(AND(N285="Sex",D285&lt;$Y$4),($Z$4-D285)+$AB$1-(F285-E285)+(I285-$Z$3),IF(AND(N285="Sex",I285&gt;$Z$3),($AB$1-(F285-E285))+(I285-$Z$3),IF(AND(N285="Sex",E285&lt;&gt;"",D285&lt;$Y$4),($Z$4-D285)+$AB$1-(F285-E285)+(I285-$Z$3),IF(N285="Sáb",(I285-D285)-(G285-E285)-(S285-R285),IF(AND(B285&lt;$T$1,I285&gt;$Z$3),H285-$Z$3,IF(D285&lt;$Y$4,($Z$4-D285)+($AB$1-(F285-E285))+(I285-$Z$8)+(S285-R285),IF(AND(S285&lt;&gt;"",D285&gt;$Z$4),(S285-R285)-($AB$1-(F285-E285)),IF(AND(S285&lt;&gt;"",D285&lt;$Y$4),(S285-R285)-($AB$1-(F285-E285)+($Z$4-D285)),IF(I285&gt;$Z$8,($AB$1-(F285-E285))+(I285-$Z$8),IF(AND(N285="Sex",(F285-E285)&lt;($AB$1-$W$1)),($AB$1-(F285-E285)),IF(AND(O285&gt;($AB$1-$W$1),D285&gt;$Z$4),"",IF(AND(B285&gt;=$T$1,(F285-E285)&gt;($AB$1-$W$1)),"",IF(AND(D285&gt;=$Y$4,I285=$Z$8,S285=""),($AB$1-(F285-E285)),IF(AND(P285&lt;&gt;"",S285&lt;&gt;""),I285-$Z$8,IF(AND(P285&lt;&gt;"",D285&gt;$Y$4),$AB$1-(F285-E285),"")))))))))))))))))</f>
        <v/>
      </c>
      <c r="M285" s="107" t="str">
        <f>IFERROR(IF(H285="","",IF(B285=VLOOKUP(B285,Feriados[],2,0),(H285-D285)-(G285-E285),"")),"")</f>
        <v/>
      </c>
      <c r="N285" s="38" t="str">
        <f t="shared" si="23"/>
        <v>Qua</v>
      </c>
      <c r="O285" s="112">
        <f t="shared" si="24"/>
        <v>4.166666666666663E-2</v>
      </c>
      <c r="P285" s="113" t="str">
        <f>IF(B285=_xlfn.XLOOKUP(B285,Feriados[FE Oficial],Feriados[FE Talvez],"",0),"",IF(B285&lt;$T$1,"",IF(Q285="Consulta","",IF(Q285="Compensado","",IF(N285="Sáb","",IF(S285&lt;&gt;"",(S285-R285)-(($AB$1-O285)-(D285-$Z$4)),IF(O285&gt;$AB$1,O285-$AB$1,IF(C285&gt;$Z$4,C285-$Z$4,IF(AND(N285="Sex",G285&lt;&gt;"",H285=""),$Z$3-G285,IF(AND(G285&lt;&gt;"",H285=""),$Z$3-G285,IF(AND(N285="Sex",H285&lt;$Y$3),$Z$3-H285,IF(AND(N285&lt;&gt;"Sex",H285&gt;$AA$8),"",IF(AND(N285="Sex",H285&gt;$Z$8),"",IF(AND(N285&lt;&gt;"Sex",I285&gt;$Z$8),$Z$8-H285,IF(AND(N285&lt;&gt;"Sex",H285&lt;$Y$8),$Z$8-H285,"")))))))))))))))</f>
        <v/>
      </c>
      <c r="Q285" s="33"/>
      <c r="R285" s="33"/>
      <c r="S285" s="33"/>
    </row>
    <row r="286" spans="1:19" x14ac:dyDescent="0.25">
      <c r="A286" s="116" t="s">
        <v>204</v>
      </c>
      <c r="B286" s="32">
        <v>43881</v>
      </c>
      <c r="C286" s="39">
        <f t="shared" si="20"/>
        <v>0.33333333333333331</v>
      </c>
      <c r="D286" s="33">
        <v>0.33333333333333331</v>
      </c>
      <c r="E286" s="33">
        <v>0.5</v>
      </c>
      <c r="F286" s="39">
        <f t="shared" si="21"/>
        <v>0.54166666666666663</v>
      </c>
      <c r="G286" s="33">
        <v>0.54166666666666663</v>
      </c>
      <c r="H286" s="33">
        <v>0.75</v>
      </c>
      <c r="I286" s="39">
        <f>IFERROR(IF(B286=VLOOKUP(B286,Feriados[],2,0),H286,IF(N286="Sáb",H286,IF(AND(B286&lt;$T$1,H286&lt;=$AA$3),$Z$3,IF(AND(N286="Sex",H286&gt;$AA$3),H286,IF(H286&lt;=$AA$3,$Z$3,IF(H286&lt;=$AA$8,$Z$8,H286)))))),IF(N286="Sáb",H286,IF(AND(B286&lt;$T$1,H286&lt;=$AA$3),$Z$3,IF(AND(N286="Sex",H286&gt;$AA$3),H286,IF(H286&lt;=$AA$3,$Z$3,IF(H286&lt;=$AA$8,$Z$8,H286))))))</f>
        <v>0.75</v>
      </c>
      <c r="J286" s="33">
        <f t="shared" si="22"/>
        <v>0.37500000000000006</v>
      </c>
      <c r="K286" s="33">
        <f>IFERROR(IF(H286="","",IF(B286=VLOOKUP(B286,Feriados[],2,0),(H286-D286)-(G286-E286),IF(D286&lt;=$Y$4,(I286-D286)-(G286-E286),(I286-C286)-(F286-E286)))),IF(AND(D286&lt;=$Y$4,F286-E286=$AB$1),(I286-D286)-(F286-E286),IF(D286&lt;$Y$4,(I286-D286)-(G286-E286),(I286-C286)-(F286-E286))))</f>
        <v>0.37500000000000006</v>
      </c>
      <c r="L286" s="40" t="str">
        <f>IF(B286=_xlfn.XLOOKUP(B286,Feriados[FE Oficial],Feriados[FE Talvez],"",0),"",IF(Q286="Compensado","",IF(AND(N286="Sex",D286&lt;$Y$4),($Z$4-D286)+$AB$1-(F286-E286)+(I286-$Z$3),IF(AND(N286="Sex",I286&gt;$Z$3),($AB$1-(F286-E286))+(I286-$Z$3),IF(AND(N286="Sex",E286&lt;&gt;"",D286&lt;$Y$4),($Z$4-D286)+$AB$1-(F286-E286)+(I286-$Z$3),IF(N286="Sáb",(I286-D286)-(G286-E286)-(S286-R286),IF(AND(B286&lt;$T$1,I286&gt;$Z$3),H286-$Z$3,IF(D286&lt;$Y$4,($Z$4-D286)+($AB$1-(F286-E286))+(I286-$Z$8)+(S286-R286),IF(AND(S286&lt;&gt;"",D286&gt;$Z$4),(S286-R286)-($AB$1-(F286-E286)),IF(AND(S286&lt;&gt;"",D286&lt;$Y$4),(S286-R286)-($AB$1-(F286-E286)+($Z$4-D286)),IF(I286&gt;$Z$8,($AB$1-(F286-E286))+(I286-$Z$8),IF(AND(N286="Sex",(F286-E286)&lt;($AB$1-$W$1)),($AB$1-(F286-E286)),IF(AND(O286&gt;($AB$1-$W$1),D286&gt;$Z$4),"",IF(AND(B286&gt;=$T$1,(F286-E286)&gt;($AB$1-$W$1)),"",IF(AND(D286&gt;=$Y$4,I286=$Z$8,S286=""),($AB$1-(F286-E286)),IF(AND(P286&lt;&gt;"",S286&lt;&gt;""),I286-$Z$8,IF(AND(P286&lt;&gt;"",D286&gt;$Y$4),$AB$1-(F286-E286),"")))))))))))))))))</f>
        <v/>
      </c>
      <c r="M286" s="107" t="str">
        <f>IFERROR(IF(H286="","",IF(B286=VLOOKUP(B286,Feriados[],2,0),(H286-D286)-(G286-E286),"")),"")</f>
        <v/>
      </c>
      <c r="N286" s="38" t="str">
        <f t="shared" si="23"/>
        <v>Qua</v>
      </c>
      <c r="O286" s="112">
        <f t="shared" si="24"/>
        <v>4.166666666666663E-2</v>
      </c>
      <c r="P286" s="113" t="str">
        <f>IF(B286=_xlfn.XLOOKUP(B286,Feriados[FE Oficial],Feriados[FE Talvez],"",0),"",IF(B286&lt;$T$1,"",IF(Q286="Consulta","",IF(Q286="Compensado","",IF(N286="Sáb","",IF(S286&lt;&gt;"",(S286-R286)-(($AB$1-O286)-(D286-$Z$4)),IF(O286&gt;$AB$1,O286-$AB$1,IF(C286&gt;$Z$4,C286-$Z$4,IF(AND(N286="Sex",G286&lt;&gt;"",H286=""),$Z$3-G286,IF(AND(G286&lt;&gt;"",H286=""),$Z$3-G286,IF(AND(N286="Sex",H286&lt;$Y$3),$Z$3-H286,IF(AND(N286&lt;&gt;"Sex",H286&gt;$AA$8),"",IF(AND(N286="Sex",H286&gt;$Z$8),"",IF(AND(N286&lt;&gt;"Sex",I286&gt;$Z$8),$Z$8-H286,IF(AND(N286&lt;&gt;"Sex",H286&lt;$Y$8),$Z$8-H286,"")))))))))))))))</f>
        <v/>
      </c>
      <c r="Q286" s="33"/>
      <c r="R286" s="33"/>
      <c r="S286" s="33"/>
    </row>
    <row r="287" spans="1:19" x14ac:dyDescent="0.25">
      <c r="A287" s="116" t="s">
        <v>202</v>
      </c>
      <c r="B287" s="32">
        <v>43881</v>
      </c>
      <c r="C287" s="39">
        <f t="shared" si="20"/>
        <v>0.33333333333333331</v>
      </c>
      <c r="D287" s="33">
        <v>0.33333333333333331</v>
      </c>
      <c r="E287" s="33">
        <v>0.5</v>
      </c>
      <c r="F287" s="39">
        <f t="shared" si="21"/>
        <v>0.54166666666666663</v>
      </c>
      <c r="G287" s="33">
        <v>0.54166666666666663</v>
      </c>
      <c r="H287" s="33">
        <v>0.75</v>
      </c>
      <c r="I287" s="39">
        <f>IFERROR(IF(B287=VLOOKUP(B287,Feriados[],2,0),H287,IF(N287="Sáb",H287,IF(AND(B287&lt;$T$1,H287&lt;=$AA$3),$Z$3,IF(AND(N287="Sex",H287&gt;$AA$3),H287,IF(H287&lt;=$AA$3,$Z$3,IF(H287&lt;=$AA$8,$Z$8,H287)))))),IF(N287="Sáb",H287,IF(AND(B287&lt;$T$1,H287&lt;=$AA$3),$Z$3,IF(AND(N287="Sex",H287&gt;$AA$3),H287,IF(H287&lt;=$AA$3,$Z$3,IF(H287&lt;=$AA$8,$Z$8,H287))))))</f>
        <v>0.75</v>
      </c>
      <c r="J287" s="33">
        <f t="shared" si="22"/>
        <v>0.37500000000000006</v>
      </c>
      <c r="K287" s="33">
        <f>IFERROR(IF(H287="","",IF(B287=VLOOKUP(B287,Feriados[],2,0),(H287-D287)-(G287-E287),IF(D287&lt;=$Y$4,(I287-D287)-(G287-E287),(I287-C287)-(F287-E287)))),IF(AND(D287&lt;=$Y$4,F287-E287=$AB$1),(I287-D287)-(F287-E287),IF(D287&lt;$Y$4,(I287-D287)-(G287-E287),(I287-C287)-(F287-E287))))</f>
        <v>0.37500000000000006</v>
      </c>
      <c r="L287" s="40" t="str">
        <f>IF(B287=_xlfn.XLOOKUP(B287,Feriados[FE Oficial],Feriados[FE Talvez],"",0),"",IF(Q287="Compensado","",IF(AND(N287="Sex",D287&lt;$Y$4),($Z$4-D287)+$AB$1-(F287-E287)+(I287-$Z$3),IF(AND(N287="Sex",I287&gt;$Z$3),($AB$1-(F287-E287))+(I287-$Z$3),IF(AND(N287="Sex",E287&lt;&gt;"",D287&lt;$Y$4),($Z$4-D287)+$AB$1-(F287-E287)+(I287-$Z$3),IF(N287="Sáb",(I287-D287)-(G287-E287)-(S287-R287),IF(AND(B287&lt;$T$1,I287&gt;$Z$3),H287-$Z$3,IF(D287&lt;$Y$4,($Z$4-D287)+($AB$1-(F287-E287))+(I287-$Z$8)+(S287-R287),IF(AND(S287&lt;&gt;"",D287&gt;$Z$4),(S287-R287)-($AB$1-(F287-E287)),IF(AND(S287&lt;&gt;"",D287&lt;$Y$4),(S287-R287)-($AB$1-(F287-E287)+($Z$4-D287)),IF(I287&gt;$Z$8,($AB$1-(F287-E287))+(I287-$Z$8),IF(AND(N287="Sex",(F287-E287)&lt;($AB$1-$W$1)),($AB$1-(F287-E287)),IF(AND(O287&gt;($AB$1-$W$1),D287&gt;$Z$4),"",IF(AND(B287&gt;=$T$1,(F287-E287)&gt;($AB$1-$W$1)),"",IF(AND(D287&gt;=$Y$4,I287=$Z$8,S287=""),($AB$1-(F287-E287)),IF(AND(P287&lt;&gt;"",S287&lt;&gt;""),I287-$Z$8,IF(AND(P287&lt;&gt;"",D287&gt;$Y$4),$AB$1-(F287-E287),"")))))))))))))))))</f>
        <v/>
      </c>
      <c r="M287" s="107" t="str">
        <f>IFERROR(IF(H287="","",IF(B287=VLOOKUP(B287,Feriados[],2,0),(H287-D287)-(G287-E287),"")),"")</f>
        <v/>
      </c>
      <c r="N287" s="38" t="str">
        <f t="shared" si="23"/>
        <v>Qua</v>
      </c>
      <c r="O287" s="112">
        <f t="shared" si="24"/>
        <v>4.166666666666663E-2</v>
      </c>
      <c r="P287" s="113" t="str">
        <f>IF(B287=_xlfn.XLOOKUP(B287,Feriados[FE Oficial],Feriados[FE Talvez],"",0),"",IF(B287&lt;$T$1,"",IF(Q287="Consulta","",IF(Q287="Compensado","",IF(N287="Sáb","",IF(S287&lt;&gt;"",(S287-R287)-(($AB$1-O287)-(D287-$Z$4)),IF(O287&gt;$AB$1,O287-$AB$1,IF(C287&gt;$Z$4,C287-$Z$4,IF(AND(N287="Sex",G287&lt;&gt;"",H287=""),$Z$3-G287,IF(AND(G287&lt;&gt;"",H287=""),$Z$3-G287,IF(AND(N287="Sex",H287&lt;$Y$3),$Z$3-H287,IF(AND(N287&lt;&gt;"Sex",H287&gt;$AA$8),"",IF(AND(N287="Sex",H287&gt;$Z$8),"",IF(AND(N287&lt;&gt;"Sex",I287&gt;$Z$8),$Z$8-H287,IF(AND(N287&lt;&gt;"Sex",H287&lt;$Y$8),$Z$8-H287,"")))))))))))))))</f>
        <v/>
      </c>
      <c r="Q287" s="33"/>
      <c r="R287" s="33"/>
      <c r="S287" s="33"/>
    </row>
    <row r="288" spans="1:19" x14ac:dyDescent="0.25">
      <c r="A288" s="116" t="s">
        <v>203</v>
      </c>
      <c r="B288" s="32">
        <v>43881</v>
      </c>
      <c r="C288" s="39">
        <f t="shared" si="20"/>
        <v>0.33333333333333331</v>
      </c>
      <c r="D288" s="33">
        <v>0.33333333333333331</v>
      </c>
      <c r="E288" s="33">
        <v>0.5</v>
      </c>
      <c r="F288" s="39">
        <f t="shared" si="21"/>
        <v>0.54166666666666663</v>
      </c>
      <c r="G288" s="33">
        <v>0.54166666666666663</v>
      </c>
      <c r="H288" s="33">
        <v>0.75</v>
      </c>
      <c r="I288" s="39">
        <f>IFERROR(IF(B288=VLOOKUP(B288,Feriados[],2,0),H288,IF(N288="Sáb",H288,IF(AND(B288&lt;$T$1,H288&lt;=$AA$3),$Z$3,IF(AND(N288="Sex",H288&gt;$AA$3),H288,IF(H288&lt;=$AA$3,$Z$3,IF(H288&lt;=$AA$8,$Z$8,H288)))))),IF(N288="Sáb",H288,IF(AND(B288&lt;$T$1,H288&lt;=$AA$3),$Z$3,IF(AND(N288="Sex",H288&gt;$AA$3),H288,IF(H288&lt;=$AA$3,$Z$3,IF(H288&lt;=$AA$8,$Z$8,H288))))))</f>
        <v>0.75</v>
      </c>
      <c r="J288" s="33">
        <f t="shared" si="22"/>
        <v>0.37500000000000006</v>
      </c>
      <c r="K288" s="33">
        <f>IFERROR(IF(H288="","",IF(B288=VLOOKUP(B288,Feriados[],2,0),(H288-D288)-(G288-E288),IF(D288&lt;=$Y$4,(I288-D288)-(G288-E288),(I288-C288)-(F288-E288)))),IF(AND(D288&lt;=$Y$4,F288-E288=$AB$1),(I288-D288)-(F288-E288),IF(D288&lt;$Y$4,(I288-D288)-(G288-E288),(I288-C288)-(F288-E288))))</f>
        <v>0.37500000000000006</v>
      </c>
      <c r="L288" s="40" t="str">
        <f>IF(B288=_xlfn.XLOOKUP(B288,Feriados[FE Oficial],Feriados[FE Talvez],"",0),"",IF(Q288="Compensado","",IF(AND(N288="Sex",D288&lt;$Y$4),($Z$4-D288)+$AB$1-(F288-E288)+(I288-$Z$3),IF(AND(N288="Sex",I288&gt;$Z$3),($AB$1-(F288-E288))+(I288-$Z$3),IF(AND(N288="Sex",E288&lt;&gt;"",D288&lt;$Y$4),($Z$4-D288)+$AB$1-(F288-E288)+(I288-$Z$3),IF(N288="Sáb",(I288-D288)-(G288-E288)-(S288-R288),IF(AND(B288&lt;$T$1,I288&gt;$Z$3),H288-$Z$3,IF(D288&lt;$Y$4,($Z$4-D288)+($AB$1-(F288-E288))+(I288-$Z$8)+(S288-R288),IF(AND(S288&lt;&gt;"",D288&gt;$Z$4),(S288-R288)-($AB$1-(F288-E288)),IF(AND(S288&lt;&gt;"",D288&lt;$Y$4),(S288-R288)-($AB$1-(F288-E288)+($Z$4-D288)),IF(I288&gt;$Z$8,($AB$1-(F288-E288))+(I288-$Z$8),IF(AND(N288="Sex",(F288-E288)&lt;($AB$1-$W$1)),($AB$1-(F288-E288)),IF(AND(O288&gt;($AB$1-$W$1),D288&gt;$Z$4),"",IF(AND(B288&gt;=$T$1,(F288-E288)&gt;($AB$1-$W$1)),"",IF(AND(D288&gt;=$Y$4,I288=$Z$8,S288=""),($AB$1-(F288-E288)),IF(AND(P288&lt;&gt;"",S288&lt;&gt;""),I288-$Z$8,IF(AND(P288&lt;&gt;"",D288&gt;$Y$4),$AB$1-(F288-E288),"")))))))))))))))))</f>
        <v/>
      </c>
      <c r="M288" s="107" t="str">
        <f>IFERROR(IF(H288="","",IF(B288=VLOOKUP(B288,Feriados[],2,0),(H288-D288)-(G288-E288),"")),"")</f>
        <v/>
      </c>
      <c r="N288" s="38" t="str">
        <f t="shared" si="23"/>
        <v>Qua</v>
      </c>
      <c r="O288" s="112">
        <f t="shared" si="24"/>
        <v>4.166666666666663E-2</v>
      </c>
      <c r="P288" s="113" t="str">
        <f>IF(B288=_xlfn.XLOOKUP(B288,Feriados[FE Oficial],Feriados[FE Talvez],"",0),"",IF(B288&lt;$T$1,"",IF(Q288="Consulta","",IF(Q288="Compensado","",IF(N288="Sáb","",IF(S288&lt;&gt;"",(S288-R288)-(($AB$1-O288)-(D288-$Z$4)),IF(O288&gt;$AB$1,O288-$AB$1,IF(C288&gt;$Z$4,C288-$Z$4,IF(AND(N288="Sex",G288&lt;&gt;"",H288=""),$Z$3-G288,IF(AND(G288&lt;&gt;"",H288=""),$Z$3-G288,IF(AND(N288="Sex",H288&lt;$Y$3),$Z$3-H288,IF(AND(N288&lt;&gt;"Sex",H288&gt;$AA$8),"",IF(AND(N288="Sex",H288&gt;$Z$8),"",IF(AND(N288&lt;&gt;"Sex",I288&gt;$Z$8),$Z$8-H288,IF(AND(N288&lt;&gt;"Sex",H288&lt;$Y$8),$Z$8-H288,"")))))))))))))))</f>
        <v/>
      </c>
      <c r="Q288" s="33"/>
      <c r="R288" s="33"/>
      <c r="S288" s="33"/>
    </row>
    <row r="289" spans="1:19" x14ac:dyDescent="0.25">
      <c r="A289" s="115" t="s">
        <v>191</v>
      </c>
      <c r="B289" s="32">
        <v>43882</v>
      </c>
      <c r="C289" s="39">
        <f t="shared" si="20"/>
        <v>0.33333333333333331</v>
      </c>
      <c r="D289" s="33">
        <v>0.33333333333333331</v>
      </c>
      <c r="E289" s="33">
        <v>0.5</v>
      </c>
      <c r="F289" s="39">
        <f t="shared" si="21"/>
        <v>0.54166666666666663</v>
      </c>
      <c r="G289" s="33">
        <v>0.54166666666666663</v>
      </c>
      <c r="H289" s="33">
        <v>0.75</v>
      </c>
      <c r="I289" s="39">
        <f>IFERROR(IF(B289=VLOOKUP(B289,Feriados[],2,0),H289,IF(N289="Sáb",H289,IF(AND(B289&lt;$T$1,H289&lt;=$AA$3),$Z$3,IF(AND(N289="Sex",H289&gt;$AA$3),H289,IF(H289&lt;=$AA$3,$Z$3,IF(H289&lt;=$AA$8,$Z$8,H289)))))),IF(N289="Sáb",H289,IF(AND(B289&lt;$T$1,H289&lt;=$AA$3),$Z$3,IF(AND(N289="Sex",H289&gt;$AA$3),H289,IF(H289&lt;=$AA$3,$Z$3,IF(H289&lt;=$AA$8,$Z$8,H289))))))</f>
        <v>0.75</v>
      </c>
      <c r="J289" s="33">
        <f t="shared" si="22"/>
        <v>0.37500000000000006</v>
      </c>
      <c r="K289" s="33">
        <f>IFERROR(IF(H289="","",IF(B289=VLOOKUP(B289,Feriados[],2,0),(H289-D289)-(G289-E289),IF(D289&lt;=$Y$4,(I289-D289)-(G289-E289),(I289-C289)-(F289-E289)))),IF(AND(D289&lt;=$Y$4,F289-E289=$AB$1),(I289-D289)-(F289-E289),IF(D289&lt;$Y$4,(I289-D289)-(G289-E289),(I289-C289)-(F289-E289))))</f>
        <v>0.37500000000000006</v>
      </c>
      <c r="L289" s="40" t="str">
        <f>IF(B289=_xlfn.XLOOKUP(B289,Feriados[FE Oficial],Feriados[FE Talvez],"",0),"",IF(Q289="Compensado","",IF(AND(N289="Sex",D289&lt;$Y$4),($Z$4-D289)+$AB$1-(F289-E289)+(I289-$Z$3),IF(AND(N289="Sex",I289&gt;$Z$3),($AB$1-(F289-E289))+(I289-$Z$3),IF(AND(N289="Sex",E289&lt;&gt;"",D289&lt;$Y$4),($Z$4-D289)+$AB$1-(F289-E289)+(I289-$Z$3),IF(N289="Sáb",(I289-D289)-(G289-E289)-(S289-R289),IF(AND(B289&lt;$T$1,I289&gt;$Z$3),H289-$Z$3,IF(D289&lt;$Y$4,($Z$4-D289)+($AB$1-(F289-E289))+(I289-$Z$8)+(S289-R289),IF(AND(S289&lt;&gt;"",D289&gt;$Z$4),(S289-R289)-($AB$1-(F289-E289)),IF(AND(S289&lt;&gt;"",D289&lt;$Y$4),(S289-R289)-($AB$1-(F289-E289)+($Z$4-D289)),IF(I289&gt;$Z$8,($AB$1-(F289-E289))+(I289-$Z$8),IF(AND(N289="Sex",(F289-E289)&lt;($AB$1-$W$1)),($AB$1-(F289-E289)),IF(AND(O289&gt;($AB$1-$W$1),D289&gt;$Z$4),"",IF(AND(B289&gt;=$T$1,(F289-E289)&gt;($AB$1-$W$1)),"",IF(AND(D289&gt;=$Y$4,I289=$Z$8,S289=""),($AB$1-(F289-E289)),IF(AND(P289&lt;&gt;"",S289&lt;&gt;""),I289-$Z$8,IF(AND(P289&lt;&gt;"",D289&gt;$Y$4),$AB$1-(F289-E289),"")))))))))))))))))</f>
        <v/>
      </c>
      <c r="M289" s="107" t="str">
        <f>IFERROR(IF(H289="","",IF(B289=VLOOKUP(B289,Feriados[],2,0),(H289-D289)-(G289-E289),"")),"")</f>
        <v/>
      </c>
      <c r="N289" s="38" t="str">
        <f t="shared" si="23"/>
        <v>Qui</v>
      </c>
      <c r="O289" s="112">
        <f t="shared" si="24"/>
        <v>4.166666666666663E-2</v>
      </c>
      <c r="P289" s="113" t="str">
        <f>IF(B289=_xlfn.XLOOKUP(B289,Feriados[FE Oficial],Feriados[FE Talvez],"",0),"",IF(B289&lt;$T$1,"",IF(Q289="Consulta","",IF(Q289="Compensado","",IF(N289="Sáb","",IF(S289&lt;&gt;"",(S289-R289)-(($AB$1-O289)-(D289-$Z$4)),IF(O289&gt;$AB$1,O289-$AB$1,IF(C289&gt;$Z$4,C289-$Z$4,IF(AND(N289="Sex",G289&lt;&gt;"",H289=""),$Z$3-G289,IF(AND(G289&lt;&gt;"",H289=""),$Z$3-G289,IF(AND(N289="Sex",H289&lt;$Y$3),$Z$3-H289,IF(AND(N289&lt;&gt;"Sex",H289&gt;$AA$8),"",IF(AND(N289="Sex",H289&gt;$Z$8),"",IF(AND(N289&lt;&gt;"Sex",I289&gt;$Z$8),$Z$8-H289,IF(AND(N289&lt;&gt;"Sex",H289&lt;$Y$8),$Z$8-H289,"")))))))))))))))</f>
        <v/>
      </c>
      <c r="Q289" s="33"/>
      <c r="R289" s="33"/>
      <c r="S289" s="33"/>
    </row>
    <row r="290" spans="1:19" x14ac:dyDescent="0.25">
      <c r="A290" s="115" t="s">
        <v>203</v>
      </c>
      <c r="B290" s="32">
        <v>43882</v>
      </c>
      <c r="C290" s="39">
        <f t="shared" si="20"/>
        <v>0.33333333333333331</v>
      </c>
      <c r="D290" s="33">
        <v>0.33333333333333331</v>
      </c>
      <c r="E290" s="33">
        <v>0.5</v>
      </c>
      <c r="F290" s="39">
        <f t="shared" si="21"/>
        <v>0.54166666666666663</v>
      </c>
      <c r="G290" s="33">
        <v>0.54166666666666663</v>
      </c>
      <c r="H290" s="33">
        <v>0.75</v>
      </c>
      <c r="I290" s="39">
        <f>IFERROR(IF(B290=VLOOKUP(B290,Feriados[],2,0),H290,IF(N290="Sáb",H290,IF(AND(B290&lt;$T$1,H290&lt;=$AA$3),$Z$3,IF(AND(N290="Sex",H290&gt;$AA$3),H290,IF(H290&lt;=$AA$3,$Z$3,IF(H290&lt;=$AA$8,$Z$8,H290)))))),IF(N290="Sáb",H290,IF(AND(B290&lt;$T$1,H290&lt;=$AA$3),$Z$3,IF(AND(N290="Sex",H290&gt;$AA$3),H290,IF(H290&lt;=$AA$3,$Z$3,IF(H290&lt;=$AA$8,$Z$8,H290))))))</f>
        <v>0.75</v>
      </c>
      <c r="J290" s="33">
        <f t="shared" si="22"/>
        <v>0.37500000000000006</v>
      </c>
      <c r="K290" s="33">
        <f>IFERROR(IF(H290="","",IF(B290=VLOOKUP(B290,Feriados[],2,0),(H290-D290)-(G290-E290),IF(D290&lt;=$Y$4,(I290-D290)-(G290-E290),(I290-C290)-(F290-E290)))),IF(AND(D290&lt;=$Y$4,F290-E290=$AB$1),(I290-D290)-(F290-E290),IF(D290&lt;$Y$4,(I290-D290)-(G290-E290),(I290-C290)-(F290-E290))))</f>
        <v>0.37500000000000006</v>
      </c>
      <c r="L290" s="40" t="str">
        <f>IF(B290=_xlfn.XLOOKUP(B290,Feriados[FE Oficial],Feriados[FE Talvez],"",0),"",IF(Q290="Compensado","",IF(AND(N290="Sex",D290&lt;$Y$4),($Z$4-D290)+$AB$1-(F290-E290)+(I290-$Z$3),IF(AND(N290="Sex",I290&gt;$Z$3),($AB$1-(F290-E290))+(I290-$Z$3),IF(AND(N290="Sex",E290&lt;&gt;"",D290&lt;$Y$4),($Z$4-D290)+$AB$1-(F290-E290)+(I290-$Z$3),IF(N290="Sáb",(I290-D290)-(G290-E290)-(S290-R290),IF(AND(B290&lt;$T$1,I290&gt;$Z$3),H290-$Z$3,IF(D290&lt;$Y$4,($Z$4-D290)+($AB$1-(F290-E290))+(I290-$Z$8)+(S290-R290),IF(AND(S290&lt;&gt;"",D290&gt;$Z$4),(S290-R290)-($AB$1-(F290-E290)),IF(AND(S290&lt;&gt;"",D290&lt;$Y$4),(S290-R290)-($AB$1-(F290-E290)+($Z$4-D290)),IF(I290&gt;$Z$8,($AB$1-(F290-E290))+(I290-$Z$8),IF(AND(N290="Sex",(F290-E290)&lt;($AB$1-$W$1)),($AB$1-(F290-E290)),IF(AND(O290&gt;($AB$1-$W$1),D290&gt;$Z$4),"",IF(AND(B290&gt;=$T$1,(F290-E290)&gt;($AB$1-$W$1)),"",IF(AND(D290&gt;=$Y$4,I290=$Z$8,S290=""),($AB$1-(F290-E290)),IF(AND(P290&lt;&gt;"",S290&lt;&gt;""),I290-$Z$8,IF(AND(P290&lt;&gt;"",D290&gt;$Y$4),$AB$1-(F290-E290),"")))))))))))))))))</f>
        <v/>
      </c>
      <c r="M290" s="107" t="str">
        <f>IFERROR(IF(H290="","",IF(B290=VLOOKUP(B290,Feriados[],2,0),(H290-D290)-(G290-E290),"")),"")</f>
        <v/>
      </c>
      <c r="N290" s="38" t="str">
        <f t="shared" si="23"/>
        <v>Qui</v>
      </c>
      <c r="O290" s="112">
        <f t="shared" si="24"/>
        <v>4.166666666666663E-2</v>
      </c>
      <c r="P290" s="113" t="str">
        <f>IF(B290=_xlfn.XLOOKUP(B290,Feriados[FE Oficial],Feriados[FE Talvez],"",0),"",IF(B290&lt;$T$1,"",IF(Q290="Consulta","",IF(Q290="Compensado","",IF(N290="Sáb","",IF(S290&lt;&gt;"",(S290-R290)-(($AB$1-O290)-(D290-$Z$4)),IF(O290&gt;$AB$1,O290-$AB$1,IF(C290&gt;$Z$4,C290-$Z$4,IF(AND(N290="Sex",G290&lt;&gt;"",H290=""),$Z$3-G290,IF(AND(G290&lt;&gt;"",H290=""),$Z$3-G290,IF(AND(N290="Sex",H290&lt;$Y$3),$Z$3-H290,IF(AND(N290&lt;&gt;"Sex",H290&gt;$AA$8),"",IF(AND(N290="Sex",H290&gt;$Z$8),"",IF(AND(N290&lt;&gt;"Sex",I290&gt;$Z$8),$Z$8-H290,IF(AND(N290&lt;&gt;"Sex",H290&lt;$Y$8),$Z$8-H290,"")))))))))))))))</f>
        <v/>
      </c>
      <c r="Q290" s="33"/>
      <c r="R290" s="33"/>
      <c r="S290" s="33"/>
    </row>
    <row r="291" spans="1:19" x14ac:dyDescent="0.25">
      <c r="A291" s="115" t="s">
        <v>204</v>
      </c>
      <c r="B291" s="32">
        <v>43882</v>
      </c>
      <c r="C291" s="39">
        <f t="shared" si="20"/>
        <v>0.33333333333333331</v>
      </c>
      <c r="D291" s="33">
        <v>0.33333333333333331</v>
      </c>
      <c r="E291" s="33">
        <v>0.5</v>
      </c>
      <c r="F291" s="39">
        <f t="shared" si="21"/>
        <v>0.54166666666666663</v>
      </c>
      <c r="G291" s="33">
        <v>0.54166666666666663</v>
      </c>
      <c r="H291" s="33">
        <v>0.75</v>
      </c>
      <c r="I291" s="39">
        <f>IFERROR(IF(B291=VLOOKUP(B291,Feriados[],2,0),H291,IF(N291="Sáb",H291,IF(AND(B291&lt;$T$1,H291&lt;=$AA$3),$Z$3,IF(AND(N291="Sex",H291&gt;$AA$3),H291,IF(H291&lt;=$AA$3,$Z$3,IF(H291&lt;=$AA$8,$Z$8,H291)))))),IF(N291="Sáb",H291,IF(AND(B291&lt;$T$1,H291&lt;=$AA$3),$Z$3,IF(AND(N291="Sex",H291&gt;$AA$3),H291,IF(H291&lt;=$AA$3,$Z$3,IF(H291&lt;=$AA$8,$Z$8,H291))))))</f>
        <v>0.75</v>
      </c>
      <c r="J291" s="33">
        <f t="shared" si="22"/>
        <v>0.37500000000000006</v>
      </c>
      <c r="K291" s="33">
        <f>IFERROR(IF(H291="","",IF(B291=VLOOKUP(B291,Feriados[],2,0),(H291-D291)-(G291-E291),IF(D291&lt;=$Y$4,(I291-D291)-(G291-E291),(I291-C291)-(F291-E291)))),IF(AND(D291&lt;=$Y$4,F291-E291=$AB$1),(I291-D291)-(F291-E291),IF(D291&lt;$Y$4,(I291-D291)-(G291-E291),(I291-C291)-(F291-E291))))</f>
        <v>0.37500000000000006</v>
      </c>
      <c r="L291" s="40" t="str">
        <f>IF(B291=_xlfn.XLOOKUP(B291,Feriados[FE Oficial],Feriados[FE Talvez],"",0),"",IF(Q291="Compensado","",IF(AND(N291="Sex",D291&lt;$Y$4),($Z$4-D291)+$AB$1-(F291-E291)+(I291-$Z$3),IF(AND(N291="Sex",I291&gt;$Z$3),($AB$1-(F291-E291))+(I291-$Z$3),IF(AND(N291="Sex",E291&lt;&gt;"",D291&lt;$Y$4),($Z$4-D291)+$AB$1-(F291-E291)+(I291-$Z$3),IF(N291="Sáb",(I291-D291)-(G291-E291)-(S291-R291),IF(AND(B291&lt;$T$1,I291&gt;$Z$3),H291-$Z$3,IF(D291&lt;$Y$4,($Z$4-D291)+($AB$1-(F291-E291))+(I291-$Z$8)+(S291-R291),IF(AND(S291&lt;&gt;"",D291&gt;$Z$4),(S291-R291)-($AB$1-(F291-E291)),IF(AND(S291&lt;&gt;"",D291&lt;$Y$4),(S291-R291)-($AB$1-(F291-E291)+($Z$4-D291)),IF(I291&gt;$Z$8,($AB$1-(F291-E291))+(I291-$Z$8),IF(AND(N291="Sex",(F291-E291)&lt;($AB$1-$W$1)),($AB$1-(F291-E291)),IF(AND(O291&gt;($AB$1-$W$1),D291&gt;$Z$4),"",IF(AND(B291&gt;=$T$1,(F291-E291)&gt;($AB$1-$W$1)),"",IF(AND(D291&gt;=$Y$4,I291=$Z$8,S291=""),($AB$1-(F291-E291)),IF(AND(P291&lt;&gt;"",S291&lt;&gt;""),I291-$Z$8,IF(AND(P291&lt;&gt;"",D291&gt;$Y$4),$AB$1-(F291-E291),"")))))))))))))))))</f>
        <v/>
      </c>
      <c r="M291" s="107" t="str">
        <f>IFERROR(IF(H291="","",IF(B291=VLOOKUP(B291,Feriados[],2,0),(H291-D291)-(G291-E291),"")),"")</f>
        <v/>
      </c>
      <c r="N291" s="38" t="str">
        <f t="shared" si="23"/>
        <v>Qui</v>
      </c>
      <c r="O291" s="112">
        <f t="shared" si="24"/>
        <v>4.166666666666663E-2</v>
      </c>
      <c r="P291" s="113" t="str">
        <f>IF(B291=_xlfn.XLOOKUP(B291,Feriados[FE Oficial],Feriados[FE Talvez],"",0),"",IF(B291&lt;$T$1,"",IF(Q291="Consulta","",IF(Q291="Compensado","",IF(N291="Sáb","",IF(S291&lt;&gt;"",(S291-R291)-(($AB$1-O291)-(D291-$Z$4)),IF(O291&gt;$AB$1,O291-$AB$1,IF(C291&gt;$Z$4,C291-$Z$4,IF(AND(N291="Sex",G291&lt;&gt;"",H291=""),$Z$3-G291,IF(AND(G291&lt;&gt;"",H291=""),$Z$3-G291,IF(AND(N291="Sex",H291&lt;$Y$3),$Z$3-H291,IF(AND(N291&lt;&gt;"Sex",H291&gt;$AA$8),"",IF(AND(N291="Sex",H291&gt;$Z$8),"",IF(AND(N291&lt;&gt;"Sex",I291&gt;$Z$8),$Z$8-H291,IF(AND(N291&lt;&gt;"Sex",H291&lt;$Y$8),$Z$8-H291,"")))))))))))))))</f>
        <v/>
      </c>
      <c r="Q291" s="33"/>
      <c r="R291" s="33"/>
      <c r="S291" s="33"/>
    </row>
    <row r="292" spans="1:19" x14ac:dyDescent="0.25">
      <c r="A292" s="115" t="s">
        <v>202</v>
      </c>
      <c r="B292" s="32">
        <v>43882</v>
      </c>
      <c r="C292" s="39">
        <f t="shared" si="20"/>
        <v>0.33333333333333331</v>
      </c>
      <c r="D292" s="33">
        <v>0.33333333333333331</v>
      </c>
      <c r="E292" s="33">
        <v>0.5</v>
      </c>
      <c r="F292" s="39">
        <f t="shared" si="21"/>
        <v>0.54166666666666663</v>
      </c>
      <c r="G292" s="33">
        <v>0.54166666666666663</v>
      </c>
      <c r="H292" s="33">
        <v>0.75</v>
      </c>
      <c r="I292" s="39">
        <f>IFERROR(IF(B292=VLOOKUP(B292,Feriados[],2,0),H292,IF(N292="Sáb",H292,IF(AND(B292&lt;$T$1,H292&lt;=$AA$3),$Z$3,IF(AND(N292="Sex",H292&gt;$AA$3),H292,IF(H292&lt;=$AA$3,$Z$3,IF(H292&lt;=$AA$8,$Z$8,H292)))))),IF(N292="Sáb",H292,IF(AND(B292&lt;$T$1,H292&lt;=$AA$3),$Z$3,IF(AND(N292="Sex",H292&gt;$AA$3),H292,IF(H292&lt;=$AA$3,$Z$3,IF(H292&lt;=$AA$8,$Z$8,H292))))))</f>
        <v>0.75</v>
      </c>
      <c r="J292" s="33">
        <f t="shared" si="22"/>
        <v>0.37500000000000006</v>
      </c>
      <c r="K292" s="33">
        <f>IFERROR(IF(H292="","",IF(B292=VLOOKUP(B292,Feriados[],2,0),(H292-D292)-(G292-E292),IF(D292&lt;=$Y$4,(I292-D292)-(G292-E292),(I292-C292)-(F292-E292)))),IF(AND(D292&lt;=$Y$4,F292-E292=$AB$1),(I292-D292)-(F292-E292),IF(D292&lt;$Y$4,(I292-D292)-(G292-E292),(I292-C292)-(F292-E292))))</f>
        <v>0.37500000000000006</v>
      </c>
      <c r="L292" s="40" t="str">
        <f>IF(B292=_xlfn.XLOOKUP(B292,Feriados[FE Oficial],Feriados[FE Talvez],"",0),"",IF(Q292="Compensado","",IF(AND(N292="Sex",D292&lt;$Y$4),($Z$4-D292)+$AB$1-(F292-E292)+(I292-$Z$3),IF(AND(N292="Sex",I292&gt;$Z$3),($AB$1-(F292-E292))+(I292-$Z$3),IF(AND(N292="Sex",E292&lt;&gt;"",D292&lt;$Y$4),($Z$4-D292)+$AB$1-(F292-E292)+(I292-$Z$3),IF(N292="Sáb",(I292-D292)-(G292-E292)-(S292-R292),IF(AND(B292&lt;$T$1,I292&gt;$Z$3),H292-$Z$3,IF(D292&lt;$Y$4,($Z$4-D292)+($AB$1-(F292-E292))+(I292-$Z$8)+(S292-R292),IF(AND(S292&lt;&gt;"",D292&gt;$Z$4),(S292-R292)-($AB$1-(F292-E292)),IF(AND(S292&lt;&gt;"",D292&lt;$Y$4),(S292-R292)-($AB$1-(F292-E292)+($Z$4-D292)),IF(I292&gt;$Z$8,($AB$1-(F292-E292))+(I292-$Z$8),IF(AND(N292="Sex",(F292-E292)&lt;($AB$1-$W$1)),($AB$1-(F292-E292)),IF(AND(O292&gt;($AB$1-$W$1),D292&gt;$Z$4),"",IF(AND(B292&gt;=$T$1,(F292-E292)&gt;($AB$1-$W$1)),"",IF(AND(D292&gt;=$Y$4,I292=$Z$8,S292=""),($AB$1-(F292-E292)),IF(AND(P292&lt;&gt;"",S292&lt;&gt;""),I292-$Z$8,IF(AND(P292&lt;&gt;"",D292&gt;$Y$4),$AB$1-(F292-E292),"")))))))))))))))))</f>
        <v/>
      </c>
      <c r="M292" s="107" t="str">
        <f>IFERROR(IF(H292="","",IF(B292=VLOOKUP(B292,Feriados[],2,0),(H292-D292)-(G292-E292),"")),"")</f>
        <v/>
      </c>
      <c r="N292" s="38" t="str">
        <f t="shared" si="23"/>
        <v>Qui</v>
      </c>
      <c r="O292" s="112">
        <f t="shared" si="24"/>
        <v>4.166666666666663E-2</v>
      </c>
      <c r="P292" s="113" t="str">
        <f>IF(B292=_xlfn.XLOOKUP(B292,Feriados[FE Oficial],Feriados[FE Talvez],"",0),"",IF(B292&lt;$T$1,"",IF(Q292="Consulta","",IF(Q292="Compensado","",IF(N292="Sáb","",IF(S292&lt;&gt;"",(S292-R292)-(($AB$1-O292)-(D292-$Z$4)),IF(O292&gt;$AB$1,O292-$AB$1,IF(C292&gt;$Z$4,C292-$Z$4,IF(AND(N292="Sex",G292&lt;&gt;"",H292=""),$Z$3-G292,IF(AND(G292&lt;&gt;"",H292=""),$Z$3-G292,IF(AND(N292="Sex",H292&lt;$Y$3),$Z$3-H292,IF(AND(N292&lt;&gt;"Sex",H292&gt;$AA$8),"",IF(AND(N292="Sex",H292&gt;$Z$8),"",IF(AND(N292&lt;&gt;"Sex",I292&gt;$Z$8),$Z$8-H292,IF(AND(N292&lt;&gt;"Sex",H292&lt;$Y$8),$Z$8-H292,"")))))))))))))))</f>
        <v/>
      </c>
      <c r="Q292" s="33"/>
      <c r="R292" s="33"/>
      <c r="S292" s="33"/>
    </row>
    <row r="293" spans="1:19" x14ac:dyDescent="0.25">
      <c r="A293" s="115" t="s">
        <v>203</v>
      </c>
      <c r="B293" s="32">
        <v>43883</v>
      </c>
      <c r="C293" s="39">
        <f t="shared" si="20"/>
        <v>0.33333333333333331</v>
      </c>
      <c r="D293" s="33">
        <v>0.33333333333333331</v>
      </c>
      <c r="E293" s="33">
        <v>0.5</v>
      </c>
      <c r="F293" s="39">
        <f t="shared" si="21"/>
        <v>0.54166666666666663</v>
      </c>
      <c r="G293" s="33">
        <v>0.54166666666666663</v>
      </c>
      <c r="H293" s="33">
        <v>0.70833333333333337</v>
      </c>
      <c r="I293" s="39">
        <f>IFERROR(IF(B293=VLOOKUP(B293,Feriados[],2,0),H293,IF(N293="Sáb",H293,IF(AND(B293&lt;$T$1,H293&lt;=$AA$3),$Z$3,IF(AND(N293="Sex",H293&gt;$AA$3),H293,IF(H293&lt;=$AA$3,$Z$3,IF(H293&lt;=$AA$8,$Z$8,H293)))))),IF(N293="Sáb",H293,IF(AND(B293&lt;$T$1,H293&lt;=$AA$3),$Z$3,IF(AND(N293="Sex",H293&gt;$AA$3),H293,IF(H293&lt;=$AA$3,$Z$3,IF(H293&lt;=$AA$8,$Z$8,H293))))))</f>
        <v>0.70833333333333337</v>
      </c>
      <c r="J293" s="33">
        <f t="shared" si="22"/>
        <v>0.33333333333333343</v>
      </c>
      <c r="K293" s="33">
        <f>IFERROR(IF(H293="","",IF(B293=VLOOKUP(B293,Feriados[],2,0),(H293-D293)-(G293-E293),IF(D293&lt;=$Y$4,(I293-D293)-(G293-E293),(I293-C293)-(F293-E293)))),IF(AND(D293&lt;=$Y$4,F293-E293=$AB$1),(I293-D293)-(F293-E293),IF(D293&lt;$Y$4,(I293-D293)-(G293-E293),(I293-C293)-(F293-E293))))</f>
        <v>0.33333333333333343</v>
      </c>
      <c r="L293" s="40" t="str">
        <f>IF(B293=_xlfn.XLOOKUP(B293,Feriados[FE Oficial],Feriados[FE Talvez],"",0),"",IF(Q293="Compensado","",IF(AND(N293="Sex",D293&lt;$Y$4),($Z$4-D293)+$AB$1-(F293-E293)+(I293-$Z$3),IF(AND(N293="Sex",I293&gt;$Z$3),($AB$1-(F293-E293))+(I293-$Z$3),IF(AND(N293="Sex",E293&lt;&gt;"",D293&lt;$Y$4),($Z$4-D293)+$AB$1-(F293-E293)+(I293-$Z$3),IF(N293="Sáb",(I293-D293)-(G293-E293)-(S293-R293),IF(AND(B293&lt;$T$1,I293&gt;$Z$3),H293-$Z$3,IF(D293&lt;$Y$4,($Z$4-D293)+($AB$1-(F293-E293))+(I293-$Z$8)+(S293-R293),IF(AND(S293&lt;&gt;"",D293&gt;$Z$4),(S293-R293)-($AB$1-(F293-E293)),IF(AND(S293&lt;&gt;"",D293&lt;$Y$4),(S293-R293)-($AB$1-(F293-E293)+($Z$4-D293)),IF(I293&gt;$Z$8,($AB$1-(F293-E293))+(I293-$Z$8),IF(AND(N293="Sex",(F293-E293)&lt;($AB$1-$W$1)),($AB$1-(F293-E293)),IF(AND(O293&gt;($AB$1-$W$1),D293&gt;$Z$4),"",IF(AND(B293&gt;=$T$1,(F293-E293)&gt;($AB$1-$W$1)),"",IF(AND(D293&gt;=$Y$4,I293=$Z$8,S293=""),($AB$1-(F293-E293)),IF(AND(P293&lt;&gt;"",S293&lt;&gt;""),I293-$Z$8,IF(AND(P293&lt;&gt;"",D293&gt;$Y$4),$AB$1-(F293-E293),"")))))))))))))))))</f>
        <v/>
      </c>
      <c r="M293" s="107" t="str">
        <f>IFERROR(IF(H293="","",IF(B293=VLOOKUP(B293,Feriados[],2,0),(H293-D293)-(G293-E293),"")),"")</f>
        <v/>
      </c>
      <c r="N293" s="38" t="str">
        <f t="shared" si="23"/>
        <v>Sex</v>
      </c>
      <c r="O293" s="112">
        <f t="shared" si="24"/>
        <v>4.166666666666663E-2</v>
      </c>
      <c r="P293" s="113" t="str">
        <f>IF(B293=_xlfn.XLOOKUP(B293,Feriados[FE Oficial],Feriados[FE Talvez],"",0),"",IF(B293&lt;$T$1,"",IF(Q293="Consulta","",IF(Q293="Compensado","",IF(N293="Sáb","",IF(S293&lt;&gt;"",(S293-R293)-(($AB$1-O293)-(D293-$Z$4)),IF(O293&gt;$AB$1,O293-$AB$1,IF(C293&gt;$Z$4,C293-$Z$4,IF(AND(N293="Sex",G293&lt;&gt;"",H293=""),$Z$3-G293,IF(AND(G293&lt;&gt;"",H293=""),$Z$3-G293,IF(AND(N293="Sex",H293&lt;$Y$3),$Z$3-H293,IF(AND(N293&lt;&gt;"Sex",H293&gt;$AA$8),"",IF(AND(N293="Sex",H293&gt;$Z$8),"",IF(AND(N293&lt;&gt;"Sex",I293&gt;$Z$8),$Z$8-H293,IF(AND(N293&lt;&gt;"Sex",H293&lt;$Y$8),$Z$8-H293,"")))))))))))))))</f>
        <v/>
      </c>
      <c r="Q293" s="33"/>
      <c r="R293" s="33"/>
      <c r="S293" s="33"/>
    </row>
    <row r="294" spans="1:19" x14ac:dyDescent="0.25">
      <c r="A294" s="115" t="s">
        <v>191</v>
      </c>
      <c r="B294" s="32">
        <v>43883</v>
      </c>
      <c r="C294" s="39">
        <f t="shared" si="20"/>
        <v>0.33333333333333331</v>
      </c>
      <c r="D294" s="33">
        <v>0.33333333333333331</v>
      </c>
      <c r="E294" s="33">
        <v>0.5</v>
      </c>
      <c r="F294" s="39">
        <f t="shared" si="21"/>
        <v>0.54166666666666663</v>
      </c>
      <c r="G294" s="33">
        <v>0.54166666666666663</v>
      </c>
      <c r="H294" s="33">
        <v>0.70833333333333337</v>
      </c>
      <c r="I294" s="39">
        <f>IFERROR(IF(B294=VLOOKUP(B294,Feriados[],2,0),H294,IF(N294="Sáb",H294,IF(AND(B294&lt;$T$1,H294&lt;=$AA$3),$Z$3,IF(AND(N294="Sex",H294&gt;$AA$3),H294,IF(H294&lt;=$AA$3,$Z$3,IF(H294&lt;=$AA$8,$Z$8,H294)))))),IF(N294="Sáb",H294,IF(AND(B294&lt;$T$1,H294&lt;=$AA$3),$Z$3,IF(AND(N294="Sex",H294&gt;$AA$3),H294,IF(H294&lt;=$AA$3,$Z$3,IF(H294&lt;=$AA$8,$Z$8,H294))))))</f>
        <v>0.70833333333333337</v>
      </c>
      <c r="J294" s="33">
        <f t="shared" si="22"/>
        <v>0.33333333333333343</v>
      </c>
      <c r="K294" s="33">
        <f>IFERROR(IF(H294="","",IF(B294=VLOOKUP(B294,Feriados[],2,0),(H294-D294)-(G294-E294),IF(D294&lt;=$Y$4,(I294-D294)-(G294-E294),(I294-C294)-(F294-E294)))),IF(AND(D294&lt;=$Y$4,F294-E294=$AB$1),(I294-D294)-(F294-E294),IF(D294&lt;$Y$4,(I294-D294)-(G294-E294),(I294-C294)-(F294-E294))))</f>
        <v>0.33333333333333343</v>
      </c>
      <c r="L294" s="40" t="str">
        <f>IF(B294=_xlfn.XLOOKUP(B294,Feriados[FE Oficial],Feriados[FE Talvez],"",0),"",IF(Q294="Compensado","",IF(AND(N294="Sex",D294&lt;$Y$4),($Z$4-D294)+$AB$1-(F294-E294)+(I294-$Z$3),IF(AND(N294="Sex",I294&gt;$Z$3),($AB$1-(F294-E294))+(I294-$Z$3),IF(AND(N294="Sex",E294&lt;&gt;"",D294&lt;$Y$4),($Z$4-D294)+$AB$1-(F294-E294)+(I294-$Z$3),IF(N294="Sáb",(I294-D294)-(G294-E294)-(S294-R294),IF(AND(B294&lt;$T$1,I294&gt;$Z$3),H294-$Z$3,IF(D294&lt;$Y$4,($Z$4-D294)+($AB$1-(F294-E294))+(I294-$Z$8)+(S294-R294),IF(AND(S294&lt;&gt;"",D294&gt;$Z$4),(S294-R294)-($AB$1-(F294-E294)),IF(AND(S294&lt;&gt;"",D294&lt;$Y$4),(S294-R294)-($AB$1-(F294-E294)+($Z$4-D294)),IF(I294&gt;$Z$8,($AB$1-(F294-E294))+(I294-$Z$8),IF(AND(N294="Sex",(F294-E294)&lt;($AB$1-$W$1)),($AB$1-(F294-E294)),IF(AND(O294&gt;($AB$1-$W$1),D294&gt;$Z$4),"",IF(AND(B294&gt;=$T$1,(F294-E294)&gt;($AB$1-$W$1)),"",IF(AND(D294&gt;=$Y$4,I294=$Z$8,S294=""),($AB$1-(F294-E294)),IF(AND(P294&lt;&gt;"",S294&lt;&gt;""),I294-$Z$8,IF(AND(P294&lt;&gt;"",D294&gt;$Y$4),$AB$1-(F294-E294),"")))))))))))))))))</f>
        <v/>
      </c>
      <c r="M294" s="107" t="str">
        <f>IFERROR(IF(H294="","",IF(B294=VLOOKUP(B294,Feriados[],2,0),(H294-D294)-(G294-E294),"")),"")</f>
        <v/>
      </c>
      <c r="N294" s="38" t="str">
        <f t="shared" si="23"/>
        <v>Sex</v>
      </c>
      <c r="O294" s="112">
        <f t="shared" si="24"/>
        <v>4.166666666666663E-2</v>
      </c>
      <c r="P294" s="113" t="str">
        <f>IF(B294=_xlfn.XLOOKUP(B294,Feriados[FE Oficial],Feriados[FE Talvez],"",0),"",IF(B294&lt;$T$1,"",IF(Q294="Consulta","",IF(Q294="Compensado","",IF(N294="Sáb","",IF(S294&lt;&gt;"",(S294-R294)-(($AB$1-O294)-(D294-$Z$4)),IF(O294&gt;$AB$1,O294-$AB$1,IF(C294&gt;$Z$4,C294-$Z$4,IF(AND(N294="Sex",G294&lt;&gt;"",H294=""),$Z$3-G294,IF(AND(G294&lt;&gt;"",H294=""),$Z$3-G294,IF(AND(N294="Sex",H294&lt;$Y$3),$Z$3-H294,IF(AND(N294&lt;&gt;"Sex",H294&gt;$AA$8),"",IF(AND(N294="Sex",H294&gt;$Z$8),"",IF(AND(N294&lt;&gt;"Sex",I294&gt;$Z$8),$Z$8-H294,IF(AND(N294&lt;&gt;"Sex",H294&lt;$Y$8),$Z$8-H294,"")))))))))))))))</f>
        <v/>
      </c>
      <c r="Q294" s="33"/>
      <c r="R294" s="33"/>
      <c r="S294" s="33"/>
    </row>
    <row r="295" spans="1:19" x14ac:dyDescent="0.25">
      <c r="A295" s="115" t="s">
        <v>203</v>
      </c>
      <c r="B295" s="32">
        <v>43883</v>
      </c>
      <c r="C295" s="39">
        <f t="shared" si="20"/>
        <v>0.33333333333333331</v>
      </c>
      <c r="D295" s="33">
        <v>0.33333333333333331</v>
      </c>
      <c r="E295" s="33">
        <v>0.5</v>
      </c>
      <c r="F295" s="39">
        <f t="shared" si="21"/>
        <v>0.54166666666666663</v>
      </c>
      <c r="G295" s="33">
        <v>0.54166666666666663</v>
      </c>
      <c r="H295" s="33">
        <v>0.70833333333333337</v>
      </c>
      <c r="I295" s="39">
        <f>IFERROR(IF(B295=VLOOKUP(B295,Feriados[],2,0),H295,IF(N295="Sáb",H295,IF(AND(B295&lt;$T$1,H295&lt;=$AA$3),$Z$3,IF(AND(N295="Sex",H295&gt;$AA$3),H295,IF(H295&lt;=$AA$3,$Z$3,IF(H295&lt;=$AA$8,$Z$8,H295)))))),IF(N295="Sáb",H295,IF(AND(B295&lt;$T$1,H295&lt;=$AA$3),$Z$3,IF(AND(N295="Sex",H295&gt;$AA$3),H295,IF(H295&lt;=$AA$3,$Z$3,IF(H295&lt;=$AA$8,$Z$8,H295))))))</f>
        <v>0.70833333333333337</v>
      </c>
      <c r="J295" s="33">
        <f t="shared" si="22"/>
        <v>0.33333333333333343</v>
      </c>
      <c r="K295" s="33">
        <f>IFERROR(IF(H295="","",IF(B295=VLOOKUP(B295,Feriados[],2,0),(H295-D295)-(G295-E295),IF(D295&lt;=$Y$4,(I295-D295)-(G295-E295),(I295-C295)-(F295-E295)))),IF(AND(D295&lt;=$Y$4,F295-E295=$AB$1),(I295-D295)-(F295-E295),IF(D295&lt;$Y$4,(I295-D295)-(G295-E295),(I295-C295)-(F295-E295))))</f>
        <v>0.33333333333333343</v>
      </c>
      <c r="L295" s="40" t="str">
        <f>IF(B295=_xlfn.XLOOKUP(B295,Feriados[FE Oficial],Feriados[FE Talvez],"",0),"",IF(Q295="Compensado","",IF(AND(N295="Sex",D295&lt;$Y$4),($Z$4-D295)+$AB$1-(F295-E295)+(I295-$Z$3),IF(AND(N295="Sex",I295&gt;$Z$3),($AB$1-(F295-E295))+(I295-$Z$3),IF(AND(N295="Sex",E295&lt;&gt;"",D295&lt;$Y$4),($Z$4-D295)+$AB$1-(F295-E295)+(I295-$Z$3),IF(N295="Sáb",(I295-D295)-(G295-E295)-(S295-R295),IF(AND(B295&lt;$T$1,I295&gt;$Z$3),H295-$Z$3,IF(D295&lt;$Y$4,($Z$4-D295)+($AB$1-(F295-E295))+(I295-$Z$8)+(S295-R295),IF(AND(S295&lt;&gt;"",D295&gt;$Z$4),(S295-R295)-($AB$1-(F295-E295)),IF(AND(S295&lt;&gt;"",D295&lt;$Y$4),(S295-R295)-($AB$1-(F295-E295)+($Z$4-D295)),IF(I295&gt;$Z$8,($AB$1-(F295-E295))+(I295-$Z$8),IF(AND(N295="Sex",(F295-E295)&lt;($AB$1-$W$1)),($AB$1-(F295-E295)),IF(AND(O295&gt;($AB$1-$W$1),D295&gt;$Z$4),"",IF(AND(B295&gt;=$T$1,(F295-E295)&gt;($AB$1-$W$1)),"",IF(AND(D295&gt;=$Y$4,I295=$Z$8,S295=""),($AB$1-(F295-E295)),IF(AND(P295&lt;&gt;"",S295&lt;&gt;""),I295-$Z$8,IF(AND(P295&lt;&gt;"",D295&gt;$Y$4),$AB$1-(F295-E295),"")))))))))))))))))</f>
        <v/>
      </c>
      <c r="M295" s="107" t="str">
        <f>IFERROR(IF(H295="","",IF(B295=VLOOKUP(B295,Feriados[],2,0),(H295-D295)-(G295-E295),"")),"")</f>
        <v/>
      </c>
      <c r="N295" s="38" t="str">
        <f t="shared" si="23"/>
        <v>Sex</v>
      </c>
      <c r="O295" s="112">
        <f t="shared" si="24"/>
        <v>4.166666666666663E-2</v>
      </c>
      <c r="P295" s="113" t="str">
        <f>IF(B295=_xlfn.XLOOKUP(B295,Feriados[FE Oficial],Feriados[FE Talvez],"",0),"",IF(B295&lt;$T$1,"",IF(Q295="Consulta","",IF(Q295="Compensado","",IF(N295="Sáb","",IF(S295&lt;&gt;"",(S295-R295)-(($AB$1-O295)-(D295-$Z$4)),IF(O295&gt;$AB$1,O295-$AB$1,IF(C295&gt;$Z$4,C295-$Z$4,IF(AND(N295="Sex",G295&lt;&gt;"",H295=""),$Z$3-G295,IF(AND(G295&lt;&gt;"",H295=""),$Z$3-G295,IF(AND(N295="Sex",H295&lt;$Y$3),$Z$3-H295,IF(AND(N295&lt;&gt;"Sex",H295&gt;$AA$8),"",IF(AND(N295="Sex",H295&gt;$Z$8),"",IF(AND(N295&lt;&gt;"Sex",I295&gt;$Z$8),$Z$8-H295,IF(AND(N295&lt;&gt;"Sex",H295&lt;$Y$8),$Z$8-H295,"")))))))))))))))</f>
        <v/>
      </c>
      <c r="Q295" s="33"/>
      <c r="R295" s="33"/>
      <c r="S295" s="33"/>
    </row>
    <row r="296" spans="1:19" x14ac:dyDescent="0.25">
      <c r="A296" s="115" t="s">
        <v>204</v>
      </c>
      <c r="B296" s="32">
        <v>43883</v>
      </c>
      <c r="C296" s="39">
        <f t="shared" si="20"/>
        <v>0.33333333333333331</v>
      </c>
      <c r="D296" s="33">
        <v>0.33333333333333331</v>
      </c>
      <c r="E296" s="33">
        <v>0.5</v>
      </c>
      <c r="F296" s="39">
        <f t="shared" si="21"/>
        <v>0.54166666666666663</v>
      </c>
      <c r="G296" s="33">
        <v>0.54166666666666663</v>
      </c>
      <c r="H296" s="33">
        <v>0.70833333333333337</v>
      </c>
      <c r="I296" s="39">
        <f>IFERROR(IF(B296=VLOOKUP(B296,Feriados[],2,0),H296,IF(N296="Sáb",H296,IF(AND(B296&lt;$T$1,H296&lt;=$AA$3),$Z$3,IF(AND(N296="Sex",H296&gt;$AA$3),H296,IF(H296&lt;=$AA$3,$Z$3,IF(H296&lt;=$AA$8,$Z$8,H296)))))),IF(N296="Sáb",H296,IF(AND(B296&lt;$T$1,H296&lt;=$AA$3),$Z$3,IF(AND(N296="Sex",H296&gt;$AA$3),H296,IF(H296&lt;=$AA$3,$Z$3,IF(H296&lt;=$AA$8,$Z$8,H296))))))</f>
        <v>0.70833333333333337</v>
      </c>
      <c r="J296" s="33">
        <f t="shared" si="22"/>
        <v>0.33333333333333343</v>
      </c>
      <c r="K296" s="33">
        <f>IFERROR(IF(H296="","",IF(B296=VLOOKUP(B296,Feriados[],2,0),(H296-D296)-(G296-E296),IF(D296&lt;=$Y$4,(I296-D296)-(G296-E296),(I296-C296)-(F296-E296)))),IF(AND(D296&lt;=$Y$4,F296-E296=$AB$1),(I296-D296)-(F296-E296),IF(D296&lt;$Y$4,(I296-D296)-(G296-E296),(I296-C296)-(F296-E296))))</f>
        <v>0.33333333333333343</v>
      </c>
      <c r="L296" s="40" t="str">
        <f>IF(B296=_xlfn.XLOOKUP(B296,Feriados[FE Oficial],Feriados[FE Talvez],"",0),"",IF(Q296="Compensado","",IF(AND(N296="Sex",D296&lt;$Y$4),($Z$4-D296)+$AB$1-(F296-E296)+(I296-$Z$3),IF(AND(N296="Sex",I296&gt;$Z$3),($AB$1-(F296-E296))+(I296-$Z$3),IF(AND(N296="Sex",E296&lt;&gt;"",D296&lt;$Y$4),($Z$4-D296)+$AB$1-(F296-E296)+(I296-$Z$3),IF(N296="Sáb",(I296-D296)-(G296-E296)-(S296-R296),IF(AND(B296&lt;$T$1,I296&gt;$Z$3),H296-$Z$3,IF(D296&lt;$Y$4,($Z$4-D296)+($AB$1-(F296-E296))+(I296-$Z$8)+(S296-R296),IF(AND(S296&lt;&gt;"",D296&gt;$Z$4),(S296-R296)-($AB$1-(F296-E296)),IF(AND(S296&lt;&gt;"",D296&lt;$Y$4),(S296-R296)-($AB$1-(F296-E296)+($Z$4-D296)),IF(I296&gt;$Z$8,($AB$1-(F296-E296))+(I296-$Z$8),IF(AND(N296="Sex",(F296-E296)&lt;($AB$1-$W$1)),($AB$1-(F296-E296)),IF(AND(O296&gt;($AB$1-$W$1),D296&gt;$Z$4),"",IF(AND(B296&gt;=$T$1,(F296-E296)&gt;($AB$1-$W$1)),"",IF(AND(D296&gt;=$Y$4,I296=$Z$8,S296=""),($AB$1-(F296-E296)),IF(AND(P296&lt;&gt;"",S296&lt;&gt;""),I296-$Z$8,IF(AND(P296&lt;&gt;"",D296&gt;$Y$4),$AB$1-(F296-E296),"")))))))))))))))))</f>
        <v/>
      </c>
      <c r="M296" s="107" t="str">
        <f>IFERROR(IF(H296="","",IF(B296=VLOOKUP(B296,Feriados[],2,0),(H296-D296)-(G296-E296),"")),"")</f>
        <v/>
      </c>
      <c r="N296" s="38" t="str">
        <f t="shared" si="23"/>
        <v>Sex</v>
      </c>
      <c r="O296" s="112">
        <f t="shared" si="24"/>
        <v>4.166666666666663E-2</v>
      </c>
      <c r="P296" s="113" t="str">
        <f>IF(B296=_xlfn.XLOOKUP(B296,Feriados[FE Oficial],Feriados[FE Talvez],"",0),"",IF(B296&lt;$T$1,"",IF(Q296="Consulta","",IF(Q296="Compensado","",IF(N296="Sáb","",IF(S296&lt;&gt;"",(S296-R296)-(($AB$1-O296)-(D296-$Z$4)),IF(O296&gt;$AB$1,O296-$AB$1,IF(C296&gt;$Z$4,C296-$Z$4,IF(AND(N296="Sex",G296&lt;&gt;"",H296=""),$Z$3-G296,IF(AND(G296&lt;&gt;"",H296=""),$Z$3-G296,IF(AND(N296="Sex",H296&lt;$Y$3),$Z$3-H296,IF(AND(N296&lt;&gt;"Sex",H296&gt;$AA$8),"",IF(AND(N296="Sex",H296&gt;$Z$8),"",IF(AND(N296&lt;&gt;"Sex",I296&gt;$Z$8),$Z$8-H296,IF(AND(N296&lt;&gt;"Sex",H296&lt;$Y$8),$Z$8-H296,"")))))))))))))))</f>
        <v/>
      </c>
      <c r="Q296" s="33"/>
      <c r="R296" s="33"/>
      <c r="S296" s="33"/>
    </row>
    <row r="297" spans="1:19" x14ac:dyDescent="0.25">
      <c r="A297" s="116" t="s">
        <v>202</v>
      </c>
      <c r="B297" s="32">
        <v>43883</v>
      </c>
      <c r="C297" s="39">
        <f t="shared" si="20"/>
        <v>0.33333333333333331</v>
      </c>
      <c r="D297" s="33">
        <v>0.33333333333333331</v>
      </c>
      <c r="E297" s="33">
        <v>0.5</v>
      </c>
      <c r="F297" s="39">
        <f t="shared" si="21"/>
        <v>0.54166666666666663</v>
      </c>
      <c r="G297" s="33">
        <v>0.54166666666666663</v>
      </c>
      <c r="H297" s="33">
        <v>0.70833333333333337</v>
      </c>
      <c r="I297" s="39">
        <f>IFERROR(IF(B297=VLOOKUP(B297,Feriados[],2,0),H297,IF(N297="Sáb",H297,IF(AND(B297&lt;$T$1,H297&lt;=$AA$3),$Z$3,IF(AND(N297="Sex",H297&gt;$AA$3),H297,IF(H297&lt;=$AA$3,$Z$3,IF(H297&lt;=$AA$8,$Z$8,H297)))))),IF(N297="Sáb",H297,IF(AND(B297&lt;$T$1,H297&lt;=$AA$3),$Z$3,IF(AND(N297="Sex",H297&gt;$AA$3),H297,IF(H297&lt;=$AA$3,$Z$3,IF(H297&lt;=$AA$8,$Z$8,H297))))))</f>
        <v>0.70833333333333337</v>
      </c>
      <c r="J297" s="33">
        <f t="shared" si="22"/>
        <v>0.33333333333333343</v>
      </c>
      <c r="K297" s="33">
        <f>IFERROR(IF(H297="","",IF(B297=VLOOKUP(B297,Feriados[],2,0),(H297-D297)-(G297-E297),IF(D297&lt;=$Y$4,(I297-D297)-(G297-E297),(I297-C297)-(F297-E297)))),IF(AND(D297&lt;=$Y$4,F297-E297=$AB$1),(I297-D297)-(F297-E297),IF(D297&lt;$Y$4,(I297-D297)-(G297-E297),(I297-C297)-(F297-E297))))</f>
        <v>0.33333333333333343</v>
      </c>
      <c r="L297" s="40" t="str">
        <f>IF(B297=_xlfn.XLOOKUP(B297,Feriados[FE Oficial],Feriados[FE Talvez],"",0),"",IF(Q297="Compensado","",IF(AND(N297="Sex",D297&lt;$Y$4),($Z$4-D297)+$AB$1-(F297-E297)+(I297-$Z$3),IF(AND(N297="Sex",I297&gt;$Z$3),($AB$1-(F297-E297))+(I297-$Z$3),IF(AND(N297="Sex",E297&lt;&gt;"",D297&lt;$Y$4),($Z$4-D297)+$AB$1-(F297-E297)+(I297-$Z$3),IF(N297="Sáb",(I297-D297)-(G297-E297)-(S297-R297),IF(AND(B297&lt;$T$1,I297&gt;$Z$3),H297-$Z$3,IF(D297&lt;$Y$4,($Z$4-D297)+($AB$1-(F297-E297))+(I297-$Z$8)+(S297-R297),IF(AND(S297&lt;&gt;"",D297&gt;$Z$4),(S297-R297)-($AB$1-(F297-E297)),IF(AND(S297&lt;&gt;"",D297&lt;$Y$4),(S297-R297)-($AB$1-(F297-E297)+($Z$4-D297)),IF(I297&gt;$Z$8,($AB$1-(F297-E297))+(I297-$Z$8),IF(AND(N297="Sex",(F297-E297)&lt;($AB$1-$W$1)),($AB$1-(F297-E297)),IF(AND(O297&gt;($AB$1-$W$1),D297&gt;$Z$4),"",IF(AND(B297&gt;=$T$1,(F297-E297)&gt;($AB$1-$W$1)),"",IF(AND(D297&gt;=$Y$4,I297=$Z$8,S297=""),($AB$1-(F297-E297)),IF(AND(P297&lt;&gt;"",S297&lt;&gt;""),I297-$Z$8,IF(AND(P297&lt;&gt;"",D297&gt;$Y$4),$AB$1-(F297-E297),"")))))))))))))))))</f>
        <v/>
      </c>
      <c r="M297" s="107" t="str">
        <f>IFERROR(IF(H297="","",IF(B297=VLOOKUP(B297,Feriados[],2,0),(H297-D297)-(G297-E297),"")),"")</f>
        <v/>
      </c>
      <c r="N297" s="38" t="str">
        <f t="shared" si="23"/>
        <v>Sex</v>
      </c>
      <c r="O297" s="112">
        <f t="shared" si="24"/>
        <v>4.166666666666663E-2</v>
      </c>
      <c r="P297" s="113" t="str">
        <f>IF(B297=_xlfn.XLOOKUP(B297,Feriados[FE Oficial],Feriados[FE Talvez],"",0),"",IF(B297&lt;$T$1,"",IF(Q297="Consulta","",IF(Q297="Compensado","",IF(N297="Sáb","",IF(S297&lt;&gt;"",(S297-R297)-(($AB$1-O297)-(D297-$Z$4)),IF(O297&gt;$AB$1,O297-$AB$1,IF(C297&gt;$Z$4,C297-$Z$4,IF(AND(N297="Sex",G297&lt;&gt;"",H297=""),$Z$3-G297,IF(AND(G297&lt;&gt;"",H297=""),$Z$3-G297,IF(AND(N297="Sex",H297&lt;$Y$3),$Z$3-H297,IF(AND(N297&lt;&gt;"Sex",H297&gt;$AA$8),"",IF(AND(N297="Sex",H297&gt;$Z$8),"",IF(AND(N297&lt;&gt;"Sex",I297&gt;$Z$8),$Z$8-H297,IF(AND(N297&lt;&gt;"Sex",H297&lt;$Y$8),$Z$8-H297,"")))))))))))))))</f>
        <v/>
      </c>
      <c r="Q297" s="33"/>
      <c r="R297" s="33"/>
      <c r="S297" s="33"/>
    </row>
    <row r="298" spans="1:19" x14ac:dyDescent="0.25">
      <c r="A298" s="116" t="s">
        <v>191</v>
      </c>
      <c r="B298" s="32">
        <v>43884</v>
      </c>
      <c r="C298" s="39">
        <f t="shared" si="20"/>
        <v>0.33333333333333331</v>
      </c>
      <c r="D298" s="33">
        <v>0.3263888888888889</v>
      </c>
      <c r="E298" s="33">
        <v>0.5</v>
      </c>
      <c r="F298" s="39">
        <f t="shared" si="21"/>
        <v>0.54166666666666663</v>
      </c>
      <c r="G298" s="33">
        <v>0.54166666666666663</v>
      </c>
      <c r="H298" s="33">
        <v>0.66666666666666663</v>
      </c>
      <c r="I298" s="39">
        <f>IFERROR(IF(B298=VLOOKUP(B298,Feriados[],2,0),H298,IF(N298="Sáb",H298,IF(AND(B298&lt;$T$1,H298&lt;=$AA$3),$Z$3,IF(AND(N298="Sex",H298&gt;$AA$3),H298,IF(H298&lt;=$AA$3,$Z$3,IF(H298&lt;=$AA$8,$Z$8,H298)))))),IF(N298="Sáb",H298,IF(AND(B298&lt;$T$1,H298&lt;=$AA$3),$Z$3,IF(AND(N298="Sex",H298&gt;$AA$3),H298,IF(H298&lt;=$AA$3,$Z$3,IF(H298&lt;=$AA$8,$Z$8,H298))))))</f>
        <v>0.66666666666666663</v>
      </c>
      <c r="J298" s="33">
        <f t="shared" si="22"/>
        <v>0.2986111111111111</v>
      </c>
      <c r="K298" s="33">
        <f>IFERROR(IF(H298="","",IF(B298=VLOOKUP(B298,Feriados[],2,0),(H298-D298)-(G298-E298),IF(D298&lt;=$Y$4,(I298-D298)-(G298-E298),(I298-C298)-(F298-E298)))),IF(AND(D298&lt;=$Y$4,F298-E298=$AB$1),(I298-D298)-(F298-E298),IF(D298&lt;$Y$4,(I298-D298)-(G298-E298),(I298-C298)-(F298-E298))))</f>
        <v>0.29166666666666669</v>
      </c>
      <c r="L298" s="114">
        <f>IF(B298=_xlfn.XLOOKUP(B298,Feriados[FE Oficial],Feriados[FE Talvez],"",0),"",IF(Q298="Compensado","",IF(AND(N298="Sex",D298&lt;$Y$4),($Z$4-D298)+$AB$1-(F298-E298)+(I298-$Z$3),IF(AND(N298="Sex",I298&gt;$Z$3),($AB$1-(F298-E298))+(I298-$Z$3),IF(AND(N298="Sex",E298&lt;&gt;"",D298&lt;$Y$4),($Z$4-D298)+$AB$1-(F298-E298)+(I298-$Z$3),IF(N298="Sáb",(I298-D298)-(G298-E298)-(S298-R298),IF(AND(B298&lt;$T$1,I298&gt;$Z$3),H298-$Z$3,IF(D298&lt;$Y$4,($Z$4-D298)+($AB$1-(F298-E298))+(I298-$Z$8)+(S298-R298),IF(AND(S298&lt;&gt;"",D298&gt;$Z$4),(S298-R298)-($AB$1-(F298-E298)),IF(AND(S298&lt;&gt;"",D298&lt;$Y$4),(S298-R298)-($AB$1-(F298-E298)+($Z$4-D298)),IF(I298&gt;$Z$8,($AB$1-(F298-E298))+(I298-$Z$8),IF(AND(N298="Sex",(F298-E298)&lt;($AB$1-$W$1)),($AB$1-(F298-E298)),IF(AND(O298&gt;($AB$1-$W$1),D298&gt;$Z$4),"",IF(AND(B298&gt;=$T$1,(F298-E298)&gt;($AB$1-$W$1)),"",IF(AND(D298&gt;=$Y$4,I298=$Z$8,S298=""),($AB$1-(F298-E298)),IF(AND(P298&lt;&gt;"",S298&lt;&gt;""),I298-$Z$8,IF(AND(P298&lt;&gt;"",D298&gt;$Y$4),$AB$1-(F298-E298),"")))))))))))))))))</f>
        <v>0.2986111111111111</v>
      </c>
      <c r="M298" s="107" t="str">
        <f>IFERROR(IF(H298="","",IF(B298=VLOOKUP(B298,Feriados[],2,0),(H298-D298)-(G298-E298),"")),"")</f>
        <v/>
      </c>
      <c r="N298" s="38" t="str">
        <f t="shared" si="23"/>
        <v>Sáb</v>
      </c>
      <c r="O298" s="112">
        <f t="shared" si="24"/>
        <v>4.166666666666663E-2</v>
      </c>
      <c r="P298" s="113" t="str">
        <f>IF(B298=_xlfn.XLOOKUP(B298,Feriados[FE Oficial],Feriados[FE Talvez],"",0),"",IF(B298&lt;$T$1,"",IF(Q298="Consulta","",IF(Q298="Compensado","",IF(N298="Sáb","",IF(S298&lt;&gt;"",(S298-R298)-(($AB$1-O298)-(D298-$Z$4)),IF(O298&gt;$AB$1,O298-$AB$1,IF(C298&gt;$Z$4,C298-$Z$4,IF(AND(N298="Sex",G298&lt;&gt;"",H298=""),$Z$3-G298,IF(AND(G298&lt;&gt;"",H298=""),$Z$3-G298,IF(AND(N298="Sex",H298&lt;$Y$3),$Z$3-H298,IF(AND(N298&lt;&gt;"Sex",H298&gt;$AA$8),"",IF(AND(N298="Sex",H298&gt;$Z$8),"",IF(AND(N298&lt;&gt;"Sex",I298&gt;$Z$8),$Z$8-H298,IF(AND(N298&lt;&gt;"Sex",H298&lt;$Y$8),$Z$8-H298,"")))))))))))))))</f>
        <v/>
      </c>
      <c r="Q298" s="33"/>
      <c r="R298" s="33"/>
      <c r="S298" s="33"/>
    </row>
    <row r="299" spans="1:19" x14ac:dyDescent="0.25">
      <c r="A299" s="115" t="s">
        <v>191</v>
      </c>
      <c r="B299" s="32">
        <v>43886</v>
      </c>
      <c r="C299" s="39">
        <f t="shared" si="20"/>
        <v>0.33333333333333331</v>
      </c>
      <c r="D299" s="33">
        <v>0.33333333333333331</v>
      </c>
      <c r="E299" s="33">
        <v>0.5</v>
      </c>
      <c r="F299" s="39">
        <f t="shared" si="21"/>
        <v>0.54166666666666663</v>
      </c>
      <c r="G299" s="33">
        <v>0.54166666666666663</v>
      </c>
      <c r="H299" s="33">
        <v>0.75</v>
      </c>
      <c r="I299" s="39">
        <f>IFERROR(IF(B299=VLOOKUP(B299,Feriados[],2,0),H299,IF(N299="Sáb",H299,IF(AND(B299&lt;$T$1,H299&lt;=$AA$3),$Z$3,IF(AND(N299="Sex",H299&gt;$AA$3),H299,IF(H299&lt;=$AA$3,$Z$3,IF(H299&lt;=$AA$8,$Z$8,H299)))))),IF(N299="Sáb",H299,IF(AND(B299&lt;$T$1,H299&lt;=$AA$3),$Z$3,IF(AND(N299="Sex",H299&gt;$AA$3),H299,IF(H299&lt;=$AA$3,$Z$3,IF(H299&lt;=$AA$8,$Z$8,H299))))))</f>
        <v>0.75</v>
      </c>
      <c r="J299" s="33">
        <f t="shared" si="22"/>
        <v>0.37500000000000006</v>
      </c>
      <c r="K299" s="33">
        <f>IFERROR(IF(H299="","",IF(B299=VLOOKUP(B299,Feriados[],2,0),(H299-D299)-(G299-E299),IF(D299&lt;=$Y$4,(I299-D299)-(G299-E299),(I299-C299)-(F299-E299)))),IF(AND(D299&lt;=$Y$4,F299-E299=$AB$1),(I299-D299)-(F299-E299),IF(D299&lt;$Y$4,(I299-D299)-(G299-E299),(I299-C299)-(F299-E299))))</f>
        <v>0.37500000000000006</v>
      </c>
      <c r="L299" s="114" t="str">
        <f>IF(B299=_xlfn.XLOOKUP(B299,Feriados[FE Oficial],Feriados[FE Talvez],"",0),"",IF(Q299="Compensado","",IF(AND(N299="Sex",D299&lt;$Y$4),($Z$4-D299)+$AB$1-(F299-E299)+(I299-$Z$3),IF(AND(N299="Sex",I299&gt;$Z$3),($AB$1-(F299-E299))+(I299-$Z$3),IF(AND(N299="Sex",E299&lt;&gt;"",D299&lt;$Y$4),($Z$4-D299)+$AB$1-(F299-E299)+(I299-$Z$3),IF(N299="Sáb",(I299-D299)-(G299-E299)-(S299-R299),IF(AND(B299&lt;$T$1,I299&gt;$Z$3),H299-$Z$3,IF(D299&lt;$Y$4,($Z$4-D299)+($AB$1-(F299-E299))+(I299-$Z$8)+(S299-R299),IF(AND(S299&lt;&gt;"",D299&gt;$Z$4),(S299-R299)-($AB$1-(F299-E299)),IF(AND(S299&lt;&gt;"",D299&lt;$Y$4),(S299-R299)-($AB$1-(F299-E299)+($Z$4-D299)),IF(I299&gt;$Z$8,($AB$1-(F299-E299))+(I299-$Z$8),IF(AND(N299="Sex",(F299-E299)&lt;($AB$1-$W$1)),($AB$1-(F299-E299)),IF(AND(O299&gt;($AB$1-$W$1),D299&gt;$Z$4),"",IF(AND(B299&gt;=$T$1,(F299-E299)&gt;($AB$1-$W$1)),"",IF(AND(D299&gt;=$Y$4,I299=$Z$8,S299=""),($AB$1-(F299-E299)),IF(AND(P299&lt;&gt;"",S299&lt;&gt;""),I299-$Z$8,IF(AND(P299&lt;&gt;"",D299&gt;$Y$4),$AB$1-(F299-E299),"")))))))))))))))))</f>
        <v/>
      </c>
      <c r="M299" s="107" t="str">
        <f>IFERROR(IF(H299="","",IF(B299=VLOOKUP(B299,Feriados[],2,0),(H299-D299)-(G299-E299),"")),"")</f>
        <v/>
      </c>
      <c r="N299" s="38" t="str">
        <f t="shared" si="23"/>
        <v>Seg</v>
      </c>
      <c r="O299" s="112">
        <f t="shared" si="24"/>
        <v>4.166666666666663E-2</v>
      </c>
      <c r="P299" s="113" t="str">
        <f>IF(B299=_xlfn.XLOOKUP(B299,Feriados[FE Oficial],Feriados[FE Talvez],"",0),"",IF(B299&lt;$T$1,"",IF(Q299="Consulta","",IF(Q299="Compensado","",IF(N299="Sáb","",IF(S299&lt;&gt;"",(S299-R299)-(($AB$1-O299)-(D299-$Z$4)),IF(O299&gt;$AB$1,O299-$AB$1,IF(C299&gt;$Z$4,C299-$Z$4,IF(AND(N299="Sex",G299&lt;&gt;"",H299=""),$Z$3-G299,IF(AND(G299&lt;&gt;"",H299=""),$Z$3-G299,IF(AND(N299="Sex",H299&lt;$Y$3),$Z$3-H299,IF(AND(N299&lt;&gt;"Sex",H299&gt;$AA$8),"",IF(AND(N299="Sex",H299&gt;$Z$8),"",IF(AND(N299&lt;&gt;"Sex",I299&gt;$Z$8),$Z$8-H299,IF(AND(N299&lt;&gt;"Sex",H299&lt;$Y$8),$Z$8-H299,"")))))))))))))))</f>
        <v/>
      </c>
      <c r="Q299" s="33"/>
      <c r="R299" s="33"/>
      <c r="S299" s="33"/>
    </row>
    <row r="300" spans="1:19" x14ac:dyDescent="0.25">
      <c r="A300" s="116" t="s">
        <v>204</v>
      </c>
      <c r="B300" s="32">
        <v>43887</v>
      </c>
      <c r="C300" s="39">
        <f t="shared" si="20"/>
        <v>0.33333333333333331</v>
      </c>
      <c r="D300" s="33">
        <v>0.33333333333333331</v>
      </c>
      <c r="E300" s="33">
        <v>0.5</v>
      </c>
      <c r="F300" s="39">
        <f t="shared" si="21"/>
        <v>0.54166666666666663</v>
      </c>
      <c r="G300" s="33">
        <v>0.54166666666666663</v>
      </c>
      <c r="H300" s="33">
        <v>0.75</v>
      </c>
      <c r="I300" s="39">
        <f>IFERROR(IF(B300=VLOOKUP(B300,Feriados[],2,0),H300,IF(N300="Sáb",H300,IF(AND(B300&lt;$T$1,H300&lt;=$AA$3),$Z$3,IF(AND(N300="Sex",H300&gt;$AA$3),H300,IF(H300&lt;=$AA$3,$Z$3,IF(H300&lt;=$AA$8,$Z$8,H300)))))),IF(N300="Sáb",H300,IF(AND(B300&lt;$T$1,H300&lt;=$AA$3),$Z$3,IF(AND(N300="Sex",H300&gt;$AA$3),H300,IF(H300&lt;=$AA$3,$Z$3,IF(H300&lt;=$AA$8,$Z$8,H300))))))</f>
        <v>0.75</v>
      </c>
      <c r="J300" s="33">
        <f t="shared" si="22"/>
        <v>0.37500000000000006</v>
      </c>
      <c r="K300" s="33">
        <f>IFERROR(IF(H300="","",IF(B300=VLOOKUP(B300,Feriados[],2,0),(H300-D300)-(G300-E300),IF(D300&lt;=$Y$4,(I300-D300)-(G300-E300),(I300-C300)-(F300-E300)))),IF(AND(D300&lt;=$Y$4,F300-E300=$AB$1),(I300-D300)-(F300-E300),IF(D300&lt;$Y$4,(I300-D300)-(G300-E300),(I300-C300)-(F300-E300))))</f>
        <v>0.37500000000000006</v>
      </c>
      <c r="L300" s="40" t="str">
        <f>IF(B300=_xlfn.XLOOKUP(B300,Feriados[FE Oficial],Feriados[FE Talvez],"",0),"",IF(Q300="Compensado","",IF(AND(N300="Sex",D300&lt;$Y$4),($Z$4-D300)+$AB$1-(F300-E300)+(I300-$Z$3),IF(AND(N300="Sex",I300&gt;$Z$3),($AB$1-(F300-E300))+(I300-$Z$3),IF(AND(N300="Sex",E300&lt;&gt;"",D300&lt;$Y$4),($Z$4-D300)+$AB$1-(F300-E300)+(I300-$Z$3),IF(N300="Sáb",(I300-D300)-(G300-E300)-(S300-R300),IF(AND(B300&lt;$T$1,I300&gt;$Z$3),H300-$Z$3,IF(D300&lt;$Y$4,($Z$4-D300)+($AB$1-(F300-E300))+(I300-$Z$8)+(S300-R300),IF(AND(S300&lt;&gt;"",D300&gt;$Z$4),(S300-R300)-($AB$1-(F300-E300)),IF(AND(S300&lt;&gt;"",D300&lt;$Y$4),(S300-R300)-($AB$1-(F300-E300)+($Z$4-D300)),IF(I300&gt;$Z$8,($AB$1-(F300-E300))+(I300-$Z$8),IF(AND(N300="Sex",(F300-E300)&lt;($AB$1-$W$1)),($AB$1-(F300-E300)),IF(AND(O300&gt;($AB$1-$W$1),D300&gt;$Z$4),"",IF(AND(B300&gt;=$T$1,(F300-E300)&gt;($AB$1-$W$1)),"",IF(AND(D300&gt;=$Y$4,I300=$Z$8,S300=""),($AB$1-(F300-E300)),IF(AND(P300&lt;&gt;"",S300&lt;&gt;""),I300-$Z$8,IF(AND(P300&lt;&gt;"",D300&gt;$Y$4),$AB$1-(F300-E300),"")))))))))))))))))</f>
        <v/>
      </c>
      <c r="M300" s="107" t="str">
        <f>IFERROR(IF(H300="","",IF(B300=VLOOKUP(B300,Feriados[],2,0),(H300-D300)-(G300-E300),"")),"")</f>
        <v/>
      </c>
      <c r="N300" s="38" t="str">
        <f t="shared" si="23"/>
        <v>Ter</v>
      </c>
      <c r="O300" s="112">
        <f t="shared" si="24"/>
        <v>4.166666666666663E-2</v>
      </c>
      <c r="P300" s="113" t="str">
        <f>IF(B300=_xlfn.XLOOKUP(B300,Feriados[FE Oficial],Feriados[FE Talvez],"",0),"",IF(B300&lt;$T$1,"",IF(Q300="Consulta","",IF(Q300="Compensado","",IF(N300="Sáb","",IF(S300&lt;&gt;"",(S300-R300)-(($AB$1-O300)-(D300-$Z$4)),IF(O300&gt;$AB$1,O300-$AB$1,IF(C300&gt;$Z$4,C300-$Z$4,IF(AND(N300="Sex",G300&lt;&gt;"",H300=""),$Z$3-G300,IF(AND(G300&lt;&gt;"",H300=""),$Z$3-G300,IF(AND(N300="Sex",H300&lt;$Y$3),$Z$3-H300,IF(AND(N300&lt;&gt;"Sex",H300&gt;$AA$8),"",IF(AND(N300="Sex",H300&gt;$Z$8),"",IF(AND(N300&lt;&gt;"Sex",I300&gt;$Z$8),$Z$8-H300,IF(AND(N300&lt;&gt;"Sex",H300&lt;$Y$8),$Z$8-H300,"")))))))))))))))</f>
        <v/>
      </c>
      <c r="Q300" s="33"/>
      <c r="R300" s="33"/>
      <c r="S300" s="33"/>
    </row>
    <row r="301" spans="1:19" x14ac:dyDescent="0.25">
      <c r="A301" s="116" t="s">
        <v>191</v>
      </c>
      <c r="B301" s="32">
        <v>43887</v>
      </c>
      <c r="C301" s="39">
        <f t="shared" si="20"/>
        <v>0.33333333333333331</v>
      </c>
      <c r="D301" s="33">
        <v>0.32291666666666669</v>
      </c>
      <c r="E301" s="33">
        <v>0.5</v>
      </c>
      <c r="F301" s="39">
        <f t="shared" si="21"/>
        <v>0.54166666666666663</v>
      </c>
      <c r="G301" s="33">
        <v>0.54166666666666663</v>
      </c>
      <c r="H301" s="33">
        <v>0.75</v>
      </c>
      <c r="I301" s="39">
        <f>IFERROR(IF(B301=VLOOKUP(B301,Feriados[],2,0),H301,IF(N301="Sáb",H301,IF(AND(B301&lt;$T$1,H301&lt;=$AA$3),$Z$3,IF(AND(N301="Sex",H301&gt;$AA$3),H301,IF(H301&lt;=$AA$3,$Z$3,IF(H301&lt;=$AA$8,$Z$8,H301)))))),IF(N301="Sáb",H301,IF(AND(B301&lt;$T$1,H301&lt;=$AA$3),$Z$3,IF(AND(N301="Sex",H301&gt;$AA$3),H301,IF(H301&lt;=$AA$3,$Z$3,IF(H301&lt;=$AA$8,$Z$8,H301))))))</f>
        <v>0.75</v>
      </c>
      <c r="J301" s="33">
        <f t="shared" si="22"/>
        <v>0.375</v>
      </c>
      <c r="K301" s="33">
        <f>IFERROR(IF(H301="","",IF(B301=VLOOKUP(B301,Feriados[],2,0),(H301-D301)-(G301-E301),IF(D301&lt;=$Y$4,(I301-D301)-(G301-E301),(I301-C301)-(F301-E301)))),IF(AND(D301&lt;=$Y$4,F301-E301=$AB$1),(I301-D301)-(F301-E301),IF(D301&lt;$Y$4,(I301-D301)-(G301-E301),(I301-C301)-(F301-E301))))</f>
        <v>0.38541666666666669</v>
      </c>
      <c r="L301" s="40">
        <f>IF(B301=_xlfn.XLOOKUP(B301,Feriados[FE Oficial],Feriados[FE Talvez],"",0),"",IF(Q301="Compensado","",IF(AND(N301="Sex",D301&lt;$Y$4),($Z$4-D301)+$AB$1-(F301-E301)+(I301-$Z$3),IF(AND(N301="Sex",I301&gt;$Z$3),($AB$1-(F301-E301))+(I301-$Z$3),IF(AND(N301="Sex",E301&lt;&gt;"",D301&lt;$Y$4),($Z$4-D301)+$AB$1-(F301-E301)+(I301-$Z$3),IF(N301="Sáb",(I301-D301)-(G301-E301)-(S301-R301),IF(AND(B301&lt;$T$1,I301&gt;$Z$3),H301-$Z$3,IF(D301&lt;$Y$4,($Z$4-D301)+($AB$1-(F301-E301))+(I301-$Z$8)+(S301-R301),IF(AND(S301&lt;&gt;"",D301&gt;$Z$4),(S301-R301)-($AB$1-(F301-E301)),IF(AND(S301&lt;&gt;"",D301&lt;$Y$4),(S301-R301)-($AB$1-(F301-E301)+($Z$4-D301)),IF(I301&gt;$Z$8,($AB$1-(F301-E301))+(I301-$Z$8),IF(AND(N301="Sex",(F301-E301)&lt;($AB$1-$W$1)),($AB$1-(F301-E301)),IF(AND(O301&gt;($AB$1-$W$1),D301&gt;$Z$4),"",IF(AND(B301&gt;=$T$1,(F301-E301)&gt;($AB$1-$W$1)),"",IF(AND(D301&gt;=$Y$4,I301=$Z$8,S301=""),($AB$1-(F301-E301)),IF(AND(P301&lt;&gt;"",S301&lt;&gt;""),I301-$Z$8,IF(AND(P301&lt;&gt;"",D301&gt;$Y$4),$AB$1-(F301-E301),"")))))))))))))))))</f>
        <v>1.0416666666666664E-2</v>
      </c>
      <c r="M301" s="107" t="str">
        <f>IFERROR(IF(H301="","",IF(B301=VLOOKUP(B301,Feriados[],2,0),(H301-D301)-(G301-E301),"")),"")</f>
        <v/>
      </c>
      <c r="N301" s="38" t="str">
        <f t="shared" si="23"/>
        <v>Ter</v>
      </c>
      <c r="O301" s="112">
        <f t="shared" si="24"/>
        <v>4.166666666666663E-2</v>
      </c>
      <c r="P301" s="113" t="str">
        <f>IF(B301=_xlfn.XLOOKUP(B301,Feriados[FE Oficial],Feriados[FE Talvez],"",0),"",IF(B301&lt;$T$1,"",IF(Q301="Consulta","",IF(Q301="Compensado","",IF(N301="Sáb","",IF(S301&lt;&gt;"",(S301-R301)-(($AB$1-O301)-(D301-$Z$4)),IF(O301&gt;$AB$1,O301-$AB$1,IF(C301&gt;$Z$4,C301-$Z$4,IF(AND(N301="Sex",G301&lt;&gt;"",H301=""),$Z$3-G301,IF(AND(G301&lt;&gt;"",H301=""),$Z$3-G301,IF(AND(N301="Sex",H301&lt;$Y$3),$Z$3-H301,IF(AND(N301&lt;&gt;"Sex",H301&gt;$AA$8),"",IF(AND(N301="Sex",H301&gt;$Z$8),"",IF(AND(N301&lt;&gt;"Sex",I301&gt;$Z$8),$Z$8-H301,IF(AND(N301&lt;&gt;"Sex",H301&lt;$Y$8),$Z$8-H301,"")))))))))))))))</f>
        <v/>
      </c>
      <c r="Q301" s="33"/>
      <c r="R301" s="33"/>
      <c r="S301" s="33"/>
    </row>
    <row r="302" spans="1:19" x14ac:dyDescent="0.25">
      <c r="A302" s="115" t="s">
        <v>204</v>
      </c>
      <c r="B302" s="32">
        <v>43888</v>
      </c>
      <c r="C302" s="39">
        <f t="shared" si="20"/>
        <v>0.33333333333333331</v>
      </c>
      <c r="D302" s="33">
        <v>0.33333333333333331</v>
      </c>
      <c r="E302" s="33">
        <v>0.5</v>
      </c>
      <c r="F302" s="39">
        <f t="shared" si="21"/>
        <v>0.54166666666666663</v>
      </c>
      <c r="G302" s="33">
        <v>0.54166666666666663</v>
      </c>
      <c r="H302" s="33">
        <v>0.75</v>
      </c>
      <c r="I302" s="39">
        <f>IFERROR(IF(B302=VLOOKUP(B302,Feriados[],2,0),H302,IF(N302="Sáb",H302,IF(AND(B302&lt;$T$1,H302&lt;=$AA$3),$Z$3,IF(AND(N302="Sex",H302&gt;$AA$3),H302,IF(H302&lt;=$AA$3,$Z$3,IF(H302&lt;=$AA$8,$Z$8,H302)))))),IF(N302="Sáb",H302,IF(AND(B302&lt;$T$1,H302&lt;=$AA$3),$Z$3,IF(AND(N302="Sex",H302&gt;$AA$3),H302,IF(H302&lt;=$AA$3,$Z$3,IF(H302&lt;=$AA$8,$Z$8,H302))))))</f>
        <v>0.75</v>
      </c>
      <c r="J302" s="33">
        <f t="shared" si="22"/>
        <v>0.37500000000000006</v>
      </c>
      <c r="K302" s="33">
        <f>IFERROR(IF(H302="","",IF(B302=VLOOKUP(B302,Feriados[],2,0),(H302-D302)-(G302-E302),IF(D302&lt;=$Y$4,(I302-D302)-(G302-E302),(I302-C302)-(F302-E302)))),IF(AND(D302&lt;=$Y$4,F302-E302=$AB$1),(I302-D302)-(F302-E302),IF(D302&lt;$Y$4,(I302-D302)-(G302-E302),(I302-C302)-(F302-E302))))</f>
        <v>0.37500000000000006</v>
      </c>
      <c r="L302" s="40" t="str">
        <f>IF(B302=_xlfn.XLOOKUP(B302,Feriados[FE Oficial],Feriados[FE Talvez],"",0),"",IF(Q302="Compensado","",IF(AND(N302="Sex",D302&lt;$Y$4),($Z$4-D302)+$AB$1-(F302-E302)+(I302-$Z$3),IF(AND(N302="Sex",I302&gt;$Z$3),($AB$1-(F302-E302))+(I302-$Z$3),IF(AND(N302="Sex",E302&lt;&gt;"",D302&lt;$Y$4),($Z$4-D302)+$AB$1-(F302-E302)+(I302-$Z$3),IF(N302="Sáb",(I302-D302)-(G302-E302)-(S302-R302),IF(AND(B302&lt;$T$1,I302&gt;$Z$3),H302-$Z$3,IF(D302&lt;$Y$4,($Z$4-D302)+($AB$1-(F302-E302))+(I302-$Z$8)+(S302-R302),IF(AND(S302&lt;&gt;"",D302&gt;$Z$4),(S302-R302)-($AB$1-(F302-E302)),IF(AND(S302&lt;&gt;"",D302&lt;$Y$4),(S302-R302)-($AB$1-(F302-E302)+($Z$4-D302)),IF(I302&gt;$Z$8,($AB$1-(F302-E302))+(I302-$Z$8),IF(AND(N302="Sex",(F302-E302)&lt;($AB$1-$W$1)),($AB$1-(F302-E302)),IF(AND(O302&gt;($AB$1-$W$1),D302&gt;$Z$4),"",IF(AND(B302&gt;=$T$1,(F302-E302)&gt;($AB$1-$W$1)),"",IF(AND(D302&gt;=$Y$4,I302=$Z$8,S302=""),($AB$1-(F302-E302)),IF(AND(P302&lt;&gt;"",S302&lt;&gt;""),I302-$Z$8,IF(AND(P302&lt;&gt;"",D302&gt;$Y$4),$AB$1-(F302-E302),"")))))))))))))))))</f>
        <v/>
      </c>
      <c r="M302" s="107" t="str">
        <f>IFERROR(IF(H302="","",IF(B302=VLOOKUP(B302,Feriados[],2,0),(H302-D302)-(G302-E302),"")),"")</f>
        <v/>
      </c>
      <c r="N302" s="38" t="str">
        <f t="shared" si="23"/>
        <v>Qua</v>
      </c>
      <c r="O302" s="112">
        <f t="shared" si="24"/>
        <v>4.166666666666663E-2</v>
      </c>
      <c r="P302" s="113" t="str">
        <f>IF(B302=_xlfn.XLOOKUP(B302,Feriados[FE Oficial],Feriados[FE Talvez],"",0),"",IF(B302&lt;$T$1,"",IF(Q302="Consulta","",IF(Q302="Compensado","",IF(N302="Sáb","",IF(S302&lt;&gt;"",(S302-R302)-(($AB$1-O302)-(D302-$Z$4)),IF(O302&gt;$AB$1,O302-$AB$1,IF(C302&gt;$Z$4,C302-$Z$4,IF(AND(N302="Sex",G302&lt;&gt;"",H302=""),$Z$3-G302,IF(AND(G302&lt;&gt;"",H302=""),$Z$3-G302,IF(AND(N302="Sex",H302&lt;$Y$3),$Z$3-H302,IF(AND(N302&lt;&gt;"Sex",H302&gt;$AA$8),"",IF(AND(N302="Sex",H302&gt;$Z$8),"",IF(AND(N302&lt;&gt;"Sex",I302&gt;$Z$8),$Z$8-H302,IF(AND(N302&lt;&gt;"Sex",H302&lt;$Y$8),$Z$8-H302,"")))))))))))))))</f>
        <v/>
      </c>
      <c r="Q302" s="33"/>
      <c r="R302" s="33"/>
      <c r="S302" s="33"/>
    </row>
    <row r="303" spans="1:19" x14ac:dyDescent="0.25">
      <c r="A303" s="116" t="s">
        <v>191</v>
      </c>
      <c r="B303" s="32">
        <v>43888</v>
      </c>
      <c r="C303" s="39">
        <f t="shared" si="20"/>
        <v>0.33333333333333331</v>
      </c>
      <c r="D303" s="33">
        <v>0.33333333333333331</v>
      </c>
      <c r="E303" s="33">
        <v>0.5</v>
      </c>
      <c r="F303" s="39">
        <f t="shared" si="21"/>
        <v>0.54166666666666663</v>
      </c>
      <c r="G303" s="33">
        <v>0.54166666666666663</v>
      </c>
      <c r="H303" s="33">
        <v>0.75</v>
      </c>
      <c r="I303" s="39">
        <f>IFERROR(IF(B303=VLOOKUP(B303,Feriados[],2,0),H303,IF(N303="Sáb",H303,IF(AND(B303&lt;$T$1,H303&lt;=$AA$3),$Z$3,IF(AND(N303="Sex",H303&gt;$AA$3),H303,IF(H303&lt;=$AA$3,$Z$3,IF(H303&lt;=$AA$8,$Z$8,H303)))))),IF(N303="Sáb",H303,IF(AND(B303&lt;$T$1,H303&lt;=$AA$3),$Z$3,IF(AND(N303="Sex",H303&gt;$AA$3),H303,IF(H303&lt;=$AA$3,$Z$3,IF(H303&lt;=$AA$8,$Z$8,H303))))))</f>
        <v>0.75</v>
      </c>
      <c r="J303" s="33">
        <f t="shared" si="22"/>
        <v>0.37500000000000006</v>
      </c>
      <c r="K303" s="33">
        <f>IFERROR(IF(H303="","",IF(B303=VLOOKUP(B303,Feriados[],2,0),(H303-D303)-(G303-E303),IF(D303&lt;=$Y$4,(I303-D303)-(G303-E303),(I303-C303)-(F303-E303)))),IF(AND(D303&lt;=$Y$4,F303-E303=$AB$1),(I303-D303)-(F303-E303),IF(D303&lt;$Y$4,(I303-D303)-(G303-E303),(I303-C303)-(F303-E303))))</f>
        <v>0.37500000000000006</v>
      </c>
      <c r="L303" s="40" t="str">
        <f>IF(B303=_xlfn.XLOOKUP(B303,Feriados[FE Oficial],Feriados[FE Talvez],"",0),"",IF(Q303="Compensado","",IF(AND(N303="Sex",D303&lt;$Y$4),($Z$4-D303)+$AB$1-(F303-E303)+(I303-$Z$3),IF(AND(N303="Sex",I303&gt;$Z$3),($AB$1-(F303-E303))+(I303-$Z$3),IF(AND(N303="Sex",E303&lt;&gt;"",D303&lt;$Y$4),($Z$4-D303)+$AB$1-(F303-E303)+(I303-$Z$3),IF(N303="Sáb",(I303-D303)-(G303-E303)-(S303-R303),IF(AND(B303&lt;$T$1,I303&gt;$Z$3),H303-$Z$3,IF(D303&lt;$Y$4,($Z$4-D303)+($AB$1-(F303-E303))+(I303-$Z$8)+(S303-R303),IF(AND(S303&lt;&gt;"",D303&gt;$Z$4),(S303-R303)-($AB$1-(F303-E303)),IF(AND(S303&lt;&gt;"",D303&lt;$Y$4),(S303-R303)-($AB$1-(F303-E303)+($Z$4-D303)),IF(I303&gt;$Z$8,($AB$1-(F303-E303))+(I303-$Z$8),IF(AND(N303="Sex",(F303-E303)&lt;($AB$1-$W$1)),($AB$1-(F303-E303)),IF(AND(O303&gt;($AB$1-$W$1),D303&gt;$Z$4),"",IF(AND(B303&gt;=$T$1,(F303-E303)&gt;($AB$1-$W$1)),"",IF(AND(D303&gt;=$Y$4,I303=$Z$8,S303=""),($AB$1-(F303-E303)),IF(AND(P303&lt;&gt;"",S303&lt;&gt;""),I303-$Z$8,IF(AND(P303&lt;&gt;"",D303&gt;$Y$4),$AB$1-(F303-E303),"")))))))))))))))))</f>
        <v/>
      </c>
      <c r="M303" s="107" t="str">
        <f>IFERROR(IF(H303="","",IF(B303=VLOOKUP(B303,Feriados[],2,0),(H303-D303)-(G303-E303),"")),"")</f>
        <v/>
      </c>
      <c r="N303" s="38" t="str">
        <f t="shared" si="23"/>
        <v>Qua</v>
      </c>
      <c r="O303" s="112">
        <f t="shared" si="24"/>
        <v>4.166666666666663E-2</v>
      </c>
      <c r="P303" s="113" t="str">
        <f>IF(B303=_xlfn.XLOOKUP(B303,Feriados[FE Oficial],Feriados[FE Talvez],"",0),"",IF(B303&lt;$T$1,"",IF(Q303="Consulta","",IF(Q303="Compensado","",IF(N303="Sáb","",IF(S303&lt;&gt;"",(S303-R303)-(($AB$1-O303)-(D303-$Z$4)),IF(O303&gt;$AB$1,O303-$AB$1,IF(C303&gt;$Z$4,C303-$Z$4,IF(AND(N303="Sex",G303&lt;&gt;"",H303=""),$Z$3-G303,IF(AND(G303&lt;&gt;"",H303=""),$Z$3-G303,IF(AND(N303="Sex",H303&lt;$Y$3),$Z$3-H303,IF(AND(N303&lt;&gt;"Sex",H303&gt;$AA$8),"",IF(AND(N303="Sex",H303&gt;$Z$8),"",IF(AND(N303&lt;&gt;"Sex",I303&gt;$Z$8),$Z$8-H303,IF(AND(N303&lt;&gt;"Sex",H303&lt;$Y$8),$Z$8-H303,"")))))))))))))))</f>
        <v/>
      </c>
      <c r="Q303" s="33"/>
      <c r="R303" s="33"/>
      <c r="S303" s="33"/>
    </row>
    <row r="304" spans="1:19" x14ac:dyDescent="0.25">
      <c r="A304" s="115" t="s">
        <v>204</v>
      </c>
      <c r="B304" s="32">
        <v>43889</v>
      </c>
      <c r="C304" s="39">
        <f t="shared" si="20"/>
        <v>0.33333333333333331</v>
      </c>
      <c r="D304" s="33">
        <v>0.33333333333333331</v>
      </c>
      <c r="E304" s="33">
        <v>0.5</v>
      </c>
      <c r="F304" s="39">
        <f t="shared" si="21"/>
        <v>0.54166666666666663</v>
      </c>
      <c r="G304" s="33">
        <v>0.54166666666666663</v>
      </c>
      <c r="H304" s="33">
        <v>0.75</v>
      </c>
      <c r="I304" s="39">
        <f>IFERROR(IF(B304=VLOOKUP(B304,Feriados[],2,0),H304,IF(N304="Sáb",H304,IF(AND(B304&lt;$T$1,H304&lt;=$AA$3),$Z$3,IF(AND(N304="Sex",H304&gt;$AA$3),H304,IF(H304&lt;=$AA$3,$Z$3,IF(H304&lt;=$AA$8,$Z$8,H304)))))),IF(N304="Sáb",H304,IF(AND(B304&lt;$T$1,H304&lt;=$AA$3),$Z$3,IF(AND(N304="Sex",H304&gt;$AA$3),H304,IF(H304&lt;=$AA$3,$Z$3,IF(H304&lt;=$AA$8,$Z$8,H304))))))</f>
        <v>0.75</v>
      </c>
      <c r="J304" s="33">
        <f t="shared" si="22"/>
        <v>0.37500000000000006</v>
      </c>
      <c r="K304" s="33">
        <f>IFERROR(IF(H304="","",IF(B304=VLOOKUP(B304,Feriados[],2,0),(H304-D304)-(G304-E304),IF(D304&lt;=$Y$4,(I304-D304)-(G304-E304),(I304-C304)-(F304-E304)))),IF(AND(D304&lt;=$Y$4,F304-E304=$AB$1),(I304-D304)-(F304-E304),IF(D304&lt;$Y$4,(I304-D304)-(G304-E304),(I304-C304)-(F304-E304))))</f>
        <v>0.37500000000000006</v>
      </c>
      <c r="L304" s="40" t="str">
        <f>IF(B304=_xlfn.XLOOKUP(B304,Feriados[FE Oficial],Feriados[FE Talvez],"",0),"",IF(Q304="Compensado","",IF(AND(N304="Sex",D304&lt;$Y$4),($Z$4-D304)+$AB$1-(F304-E304)+(I304-$Z$3),IF(AND(N304="Sex",I304&gt;$Z$3),($AB$1-(F304-E304))+(I304-$Z$3),IF(AND(N304="Sex",E304&lt;&gt;"",D304&lt;$Y$4),($Z$4-D304)+$AB$1-(F304-E304)+(I304-$Z$3),IF(N304="Sáb",(I304-D304)-(G304-E304)-(S304-R304),IF(AND(B304&lt;$T$1,I304&gt;$Z$3),H304-$Z$3,IF(D304&lt;$Y$4,($Z$4-D304)+($AB$1-(F304-E304))+(I304-$Z$8)+(S304-R304),IF(AND(S304&lt;&gt;"",D304&gt;$Z$4),(S304-R304)-($AB$1-(F304-E304)),IF(AND(S304&lt;&gt;"",D304&lt;$Y$4),(S304-R304)-($AB$1-(F304-E304)+($Z$4-D304)),IF(I304&gt;$Z$8,($AB$1-(F304-E304))+(I304-$Z$8),IF(AND(N304="Sex",(F304-E304)&lt;($AB$1-$W$1)),($AB$1-(F304-E304)),IF(AND(O304&gt;($AB$1-$W$1),D304&gt;$Z$4),"",IF(AND(B304&gt;=$T$1,(F304-E304)&gt;($AB$1-$W$1)),"",IF(AND(D304&gt;=$Y$4,I304=$Z$8,S304=""),($AB$1-(F304-E304)),IF(AND(P304&lt;&gt;"",S304&lt;&gt;""),I304-$Z$8,IF(AND(P304&lt;&gt;"",D304&gt;$Y$4),$AB$1-(F304-E304),"")))))))))))))))))</f>
        <v/>
      </c>
      <c r="M304" s="107" t="str">
        <f>IFERROR(IF(H304="","",IF(B304=VLOOKUP(B304,Feriados[],2,0),(H304-D304)-(G304-E304),"")),"")</f>
        <v/>
      </c>
      <c r="N304" s="38" t="str">
        <f t="shared" si="23"/>
        <v>Qui</v>
      </c>
      <c r="O304" s="112">
        <f t="shared" si="24"/>
        <v>4.166666666666663E-2</v>
      </c>
      <c r="P304" s="113" t="str">
        <f>IF(B304=_xlfn.XLOOKUP(B304,Feriados[FE Oficial],Feriados[FE Talvez],"",0),"",IF(B304&lt;$T$1,"",IF(Q304="Consulta","",IF(Q304="Compensado","",IF(N304="Sáb","",IF(S304&lt;&gt;"",(S304-R304)-(($AB$1-O304)-(D304-$Z$4)),IF(O304&gt;$AB$1,O304-$AB$1,IF(C304&gt;$Z$4,C304-$Z$4,IF(AND(N304="Sex",G304&lt;&gt;"",H304=""),$Z$3-G304,IF(AND(G304&lt;&gt;"",H304=""),$Z$3-G304,IF(AND(N304="Sex",H304&lt;$Y$3),$Z$3-H304,IF(AND(N304&lt;&gt;"Sex",H304&gt;$AA$8),"",IF(AND(N304="Sex",H304&gt;$Z$8),"",IF(AND(N304&lt;&gt;"Sex",I304&gt;$Z$8),$Z$8-H304,IF(AND(N304&lt;&gt;"Sex",H304&lt;$Y$8),$Z$8-H304,"")))))))))))))))</f>
        <v/>
      </c>
      <c r="Q304" s="33"/>
      <c r="R304" s="33"/>
      <c r="S304" s="33"/>
    </row>
    <row r="305" spans="1:19" x14ac:dyDescent="0.25">
      <c r="A305" s="116" t="s">
        <v>191</v>
      </c>
      <c r="B305" s="32">
        <v>43889</v>
      </c>
      <c r="C305" s="39">
        <f t="shared" si="20"/>
        <v>0.33333333333333331</v>
      </c>
      <c r="D305" s="33">
        <v>0.32500000000000001</v>
      </c>
      <c r="E305" s="33">
        <v>0.5</v>
      </c>
      <c r="F305" s="39">
        <f t="shared" si="21"/>
        <v>0.54166666666666663</v>
      </c>
      <c r="G305" s="33">
        <v>0.54166666666666663</v>
      </c>
      <c r="H305" s="33">
        <v>0.75</v>
      </c>
      <c r="I305" s="39">
        <f>IFERROR(IF(B305=VLOOKUP(B305,Feriados[],2,0),H305,IF(N305="Sáb",H305,IF(AND(B305&lt;$T$1,H305&lt;=$AA$3),$Z$3,IF(AND(N305="Sex",H305&gt;$AA$3),H305,IF(H305&lt;=$AA$3,$Z$3,IF(H305&lt;=$AA$8,$Z$8,H305)))))),IF(N305="Sáb",H305,IF(AND(B305&lt;$T$1,H305&lt;=$AA$3),$Z$3,IF(AND(N305="Sex",H305&gt;$AA$3),H305,IF(H305&lt;=$AA$3,$Z$3,IF(H305&lt;=$AA$8,$Z$8,H305))))))</f>
        <v>0.75</v>
      </c>
      <c r="J305" s="33">
        <f t="shared" si="22"/>
        <v>0.375</v>
      </c>
      <c r="K305" s="33">
        <f>IFERROR(IF(H305="","",IF(B305=VLOOKUP(B305,Feriados[],2,0),(H305-D305)-(G305-E305),IF(D305&lt;=$Y$4,(I305-D305)-(G305-E305),(I305-C305)-(F305-E305)))),IF(AND(D305&lt;=$Y$4,F305-E305=$AB$1),(I305-D305)-(F305-E305),IF(D305&lt;$Y$4,(I305-D305)-(G305-E305),(I305-C305)-(F305-E305))))</f>
        <v>0.38333333333333336</v>
      </c>
      <c r="L305" s="40">
        <f>IF(B305=_xlfn.XLOOKUP(B305,Feriados[FE Oficial],Feriados[FE Talvez],"",0),"",IF(Q305="Compensado","",IF(AND(N305="Sex",D305&lt;$Y$4),($Z$4-D305)+$AB$1-(F305-E305)+(I305-$Z$3),IF(AND(N305="Sex",I305&gt;$Z$3),($AB$1-(F305-E305))+(I305-$Z$3),IF(AND(N305="Sex",E305&lt;&gt;"",D305&lt;$Y$4),($Z$4-D305)+$AB$1-(F305-E305)+(I305-$Z$3),IF(N305="Sáb",(I305-D305)-(G305-E305)-(S305-R305),IF(AND(B305&lt;$T$1,I305&gt;$Z$3),H305-$Z$3,IF(D305&lt;$Y$4,($Z$4-D305)+($AB$1-(F305-E305))+(I305-$Z$8)+(S305-R305),IF(AND(S305&lt;&gt;"",D305&gt;$Z$4),(S305-R305)-($AB$1-(F305-E305)),IF(AND(S305&lt;&gt;"",D305&lt;$Y$4),(S305-R305)-($AB$1-(F305-E305)+($Z$4-D305)),IF(I305&gt;$Z$8,($AB$1-(F305-E305))+(I305-$Z$8),IF(AND(N305="Sex",(F305-E305)&lt;($AB$1-$W$1)),($AB$1-(F305-E305)),IF(AND(O305&gt;($AB$1-$W$1),D305&gt;$Z$4),"",IF(AND(B305&gt;=$T$1,(F305-E305)&gt;($AB$1-$W$1)),"",IF(AND(D305&gt;=$Y$4,I305=$Z$8,S305=""),($AB$1-(F305-E305)),IF(AND(P305&lt;&gt;"",S305&lt;&gt;""),I305-$Z$8,IF(AND(P305&lt;&gt;"",D305&gt;$Y$4),$AB$1-(F305-E305),"")))))))))))))))))</f>
        <v>8.3333333333333384E-3</v>
      </c>
      <c r="M305" s="107" t="str">
        <f>IFERROR(IF(H305="","",IF(B305=VLOOKUP(B305,Feriados[],2,0),(H305-D305)-(G305-E305),"")),"")</f>
        <v/>
      </c>
      <c r="N305" s="38" t="str">
        <f t="shared" si="23"/>
        <v>Qui</v>
      </c>
      <c r="O305" s="112">
        <f t="shared" si="24"/>
        <v>4.166666666666663E-2</v>
      </c>
      <c r="P305" s="113" t="str">
        <f>IF(B305=_xlfn.XLOOKUP(B305,Feriados[FE Oficial],Feriados[FE Talvez],"",0),"",IF(B305&lt;$T$1,"",IF(Q305="Consulta","",IF(Q305="Compensado","",IF(N305="Sáb","",IF(S305&lt;&gt;"",(S305-R305)-(($AB$1-O305)-(D305-$Z$4)),IF(O305&gt;$AB$1,O305-$AB$1,IF(C305&gt;$Z$4,C305-$Z$4,IF(AND(N305="Sex",G305&lt;&gt;"",H305=""),$Z$3-G305,IF(AND(G305&lt;&gt;"",H305=""),$Z$3-G305,IF(AND(N305="Sex",H305&lt;$Y$3),$Z$3-H305,IF(AND(N305&lt;&gt;"Sex",H305&gt;$AA$8),"",IF(AND(N305="Sex",H305&gt;$Z$8),"",IF(AND(N305&lt;&gt;"Sex",I305&gt;$Z$8),$Z$8-H305,IF(AND(N305&lt;&gt;"Sex",H305&lt;$Y$8),$Z$8-H305,"")))))))))))))))</f>
        <v/>
      </c>
      <c r="Q305" s="33"/>
      <c r="R305" s="33"/>
      <c r="S305" s="33"/>
    </row>
    <row r="306" spans="1:19" x14ac:dyDescent="0.25">
      <c r="A306" s="115" t="s">
        <v>204</v>
      </c>
      <c r="B306" s="32">
        <v>43890</v>
      </c>
      <c r="C306" s="39">
        <f t="shared" si="20"/>
        <v>0.33333333333333331</v>
      </c>
      <c r="D306" s="33">
        <v>0.33333333333333331</v>
      </c>
      <c r="E306" s="33">
        <v>0.5</v>
      </c>
      <c r="F306" s="39">
        <f t="shared" si="21"/>
        <v>0.54166666666666663</v>
      </c>
      <c r="G306" s="33">
        <v>0.54166666666666663</v>
      </c>
      <c r="H306" s="33">
        <v>0.70833333333333337</v>
      </c>
      <c r="I306" s="39">
        <f>IFERROR(IF(B306=VLOOKUP(B306,Feriados[],2,0),H306,IF(N306="Sáb",H306,IF(AND(B306&lt;$T$1,H306&lt;=$AA$3),$Z$3,IF(AND(N306="Sex",H306&gt;$AA$3),H306,IF(H306&lt;=$AA$3,$Z$3,IF(H306&lt;=$AA$8,$Z$8,H306)))))),IF(N306="Sáb",H306,IF(AND(B306&lt;$T$1,H306&lt;=$AA$3),$Z$3,IF(AND(N306="Sex",H306&gt;$AA$3),H306,IF(H306&lt;=$AA$3,$Z$3,IF(H306&lt;=$AA$8,$Z$8,H306))))))</f>
        <v>0.70833333333333337</v>
      </c>
      <c r="J306" s="33">
        <f t="shared" si="22"/>
        <v>0.33333333333333343</v>
      </c>
      <c r="K306" s="33">
        <f>IFERROR(IF(H306="","",IF(B306=VLOOKUP(B306,Feriados[],2,0),(H306-D306)-(G306-E306),IF(D306&lt;=$Y$4,(I306-D306)-(G306-E306),(I306-C306)-(F306-E306)))),IF(AND(D306&lt;=$Y$4,F306-E306=$AB$1),(I306-D306)-(F306-E306),IF(D306&lt;$Y$4,(I306-D306)-(G306-E306),(I306-C306)-(F306-E306))))</f>
        <v>0.33333333333333343</v>
      </c>
      <c r="L306" s="40" t="str">
        <f>IF(B306=_xlfn.XLOOKUP(B306,Feriados[FE Oficial],Feriados[FE Talvez],"",0),"",IF(Q306="Compensado","",IF(AND(N306="Sex",D306&lt;$Y$4),($Z$4-D306)+$AB$1-(F306-E306)+(I306-$Z$3),IF(AND(N306="Sex",I306&gt;$Z$3),($AB$1-(F306-E306))+(I306-$Z$3),IF(AND(N306="Sex",E306&lt;&gt;"",D306&lt;$Y$4),($Z$4-D306)+$AB$1-(F306-E306)+(I306-$Z$3),IF(N306="Sáb",(I306-D306)-(G306-E306)-(S306-R306),IF(AND(B306&lt;$T$1,I306&gt;$Z$3),H306-$Z$3,IF(D306&lt;$Y$4,($Z$4-D306)+($AB$1-(F306-E306))+(I306-$Z$8)+(S306-R306),IF(AND(S306&lt;&gt;"",D306&gt;$Z$4),(S306-R306)-($AB$1-(F306-E306)),IF(AND(S306&lt;&gt;"",D306&lt;$Y$4),(S306-R306)-($AB$1-(F306-E306)+($Z$4-D306)),IF(I306&gt;$Z$8,($AB$1-(F306-E306))+(I306-$Z$8),IF(AND(N306="Sex",(F306-E306)&lt;($AB$1-$W$1)),($AB$1-(F306-E306)),IF(AND(O306&gt;($AB$1-$W$1),D306&gt;$Z$4),"",IF(AND(B306&gt;=$T$1,(F306-E306)&gt;($AB$1-$W$1)),"",IF(AND(D306&gt;=$Y$4,I306=$Z$8,S306=""),($AB$1-(F306-E306)),IF(AND(P306&lt;&gt;"",S306&lt;&gt;""),I306-$Z$8,IF(AND(P306&lt;&gt;"",D306&gt;$Y$4),$AB$1-(F306-E306),"")))))))))))))))))</f>
        <v/>
      </c>
      <c r="M306" s="107" t="str">
        <f>IFERROR(IF(H306="","",IF(B306=VLOOKUP(B306,Feriados[],2,0),(H306-D306)-(G306-E306),"")),"")</f>
        <v/>
      </c>
      <c r="N306" s="38" t="str">
        <f t="shared" si="23"/>
        <v>Sex</v>
      </c>
      <c r="O306" s="112">
        <f t="shared" si="24"/>
        <v>4.166666666666663E-2</v>
      </c>
      <c r="P306" s="113" t="str">
        <f>IF(B306=_xlfn.XLOOKUP(B306,Feriados[FE Oficial],Feriados[FE Talvez],"",0),"",IF(B306&lt;$T$1,"",IF(Q306="Consulta","",IF(Q306="Compensado","",IF(N306="Sáb","",IF(S306&lt;&gt;"",(S306-R306)-(($AB$1-O306)-(D306-$Z$4)),IF(O306&gt;$AB$1,O306-$AB$1,IF(C306&gt;$Z$4,C306-$Z$4,IF(AND(N306="Sex",G306&lt;&gt;"",H306=""),$Z$3-G306,IF(AND(G306&lt;&gt;"",H306=""),$Z$3-G306,IF(AND(N306="Sex",H306&lt;$Y$3),$Z$3-H306,IF(AND(N306&lt;&gt;"Sex",H306&gt;$AA$8),"",IF(AND(N306="Sex",H306&gt;$Z$8),"",IF(AND(N306&lt;&gt;"Sex",I306&gt;$Z$8),$Z$8-H306,IF(AND(N306&lt;&gt;"Sex",H306&lt;$Y$8),$Z$8-H306,"")))))))))))))))</f>
        <v/>
      </c>
      <c r="Q306" s="33"/>
      <c r="R306" s="33"/>
      <c r="S306" s="33"/>
    </row>
    <row r="307" spans="1:19" x14ac:dyDescent="0.25">
      <c r="A307" s="116" t="s">
        <v>191</v>
      </c>
      <c r="B307" s="32">
        <v>43890</v>
      </c>
      <c r="C307" s="39">
        <f t="shared" si="20"/>
        <v>0.33333333333333331</v>
      </c>
      <c r="D307" s="33">
        <v>0.33333333333333331</v>
      </c>
      <c r="E307" s="33">
        <v>0.5</v>
      </c>
      <c r="F307" s="39">
        <f t="shared" si="21"/>
        <v>0.54166666666666663</v>
      </c>
      <c r="G307" s="33">
        <v>0.54166666666666663</v>
      </c>
      <c r="H307" s="33">
        <v>0.70833333333333337</v>
      </c>
      <c r="I307" s="39">
        <f>IFERROR(IF(B307=VLOOKUP(B307,Feriados[],2,0),H307,IF(N307="Sáb",H307,IF(AND(B307&lt;$T$1,H307&lt;=$AA$3),$Z$3,IF(AND(N307="Sex",H307&gt;$AA$3),H307,IF(H307&lt;=$AA$3,$Z$3,IF(H307&lt;=$AA$8,$Z$8,H307)))))),IF(N307="Sáb",H307,IF(AND(B307&lt;$T$1,H307&lt;=$AA$3),$Z$3,IF(AND(N307="Sex",H307&gt;$AA$3),H307,IF(H307&lt;=$AA$3,$Z$3,IF(H307&lt;=$AA$8,$Z$8,H307))))))</f>
        <v>0.70833333333333337</v>
      </c>
      <c r="J307" s="33">
        <f t="shared" si="22"/>
        <v>0.33333333333333343</v>
      </c>
      <c r="K307" s="33">
        <f>IFERROR(IF(H307="","",IF(B307=VLOOKUP(B307,Feriados[],2,0),(H307-D307)-(G307-E307),IF(D307&lt;=$Y$4,(I307-D307)-(G307-E307),(I307-C307)-(F307-E307)))),IF(AND(D307&lt;=$Y$4,F307-E307=$AB$1),(I307-D307)-(F307-E307),IF(D307&lt;$Y$4,(I307-D307)-(G307-E307),(I307-C307)-(F307-E307))))</f>
        <v>0.33333333333333343</v>
      </c>
      <c r="L307" s="40" t="str">
        <f>IF(B307=_xlfn.XLOOKUP(B307,Feriados[FE Oficial],Feriados[FE Talvez],"",0),"",IF(Q307="Compensado","",IF(AND(N307="Sex",D307&lt;$Y$4),($Z$4-D307)+$AB$1-(F307-E307)+(I307-$Z$3),IF(AND(N307="Sex",I307&gt;$Z$3),($AB$1-(F307-E307))+(I307-$Z$3),IF(AND(N307="Sex",E307&lt;&gt;"",D307&lt;$Y$4),($Z$4-D307)+$AB$1-(F307-E307)+(I307-$Z$3),IF(N307="Sáb",(I307-D307)-(G307-E307)-(S307-R307),IF(AND(B307&lt;$T$1,I307&gt;$Z$3),H307-$Z$3,IF(D307&lt;$Y$4,($Z$4-D307)+($AB$1-(F307-E307))+(I307-$Z$8)+(S307-R307),IF(AND(S307&lt;&gt;"",D307&gt;$Z$4),(S307-R307)-($AB$1-(F307-E307)),IF(AND(S307&lt;&gt;"",D307&lt;$Y$4),(S307-R307)-($AB$1-(F307-E307)+($Z$4-D307)),IF(I307&gt;$Z$8,($AB$1-(F307-E307))+(I307-$Z$8),IF(AND(N307="Sex",(F307-E307)&lt;($AB$1-$W$1)),($AB$1-(F307-E307)),IF(AND(O307&gt;($AB$1-$W$1),D307&gt;$Z$4),"",IF(AND(B307&gt;=$T$1,(F307-E307)&gt;($AB$1-$W$1)),"",IF(AND(D307&gt;=$Y$4,I307=$Z$8,S307=""),($AB$1-(F307-E307)),IF(AND(P307&lt;&gt;"",S307&lt;&gt;""),I307-$Z$8,IF(AND(P307&lt;&gt;"",D307&gt;$Y$4),$AB$1-(F307-E307),"")))))))))))))))))</f>
        <v/>
      </c>
      <c r="M307" s="107" t="str">
        <f>IFERROR(IF(H307="","",IF(B307=VLOOKUP(B307,Feriados[],2,0),(H307-D307)-(G307-E307),"")),"")</f>
        <v/>
      </c>
      <c r="N307" s="38" t="str">
        <f t="shared" si="23"/>
        <v>Sex</v>
      </c>
      <c r="O307" s="112">
        <f t="shared" si="24"/>
        <v>4.166666666666663E-2</v>
      </c>
      <c r="P307" s="113" t="str">
        <f>IF(B307=_xlfn.XLOOKUP(B307,Feriados[FE Oficial],Feriados[FE Talvez],"",0),"",IF(B307&lt;$T$1,"",IF(Q307="Consulta","",IF(Q307="Compensado","",IF(N307="Sáb","",IF(S307&lt;&gt;"",(S307-R307)-(($AB$1-O307)-(D307-$Z$4)),IF(O307&gt;$AB$1,O307-$AB$1,IF(C307&gt;$Z$4,C307-$Z$4,IF(AND(N307="Sex",G307&lt;&gt;"",H307=""),$Z$3-G307,IF(AND(G307&lt;&gt;"",H307=""),$Z$3-G307,IF(AND(N307="Sex",H307&lt;$Y$3),$Z$3-H307,IF(AND(N307&lt;&gt;"Sex",H307&gt;$AA$8),"",IF(AND(N307="Sex",H307&gt;$Z$8),"",IF(AND(N307&lt;&gt;"Sex",I307&gt;$Z$8),$Z$8-H307,IF(AND(N307&lt;&gt;"Sex",H307&lt;$Y$8),$Z$8-H307,"")))))))))))))))</f>
        <v/>
      </c>
      <c r="Q307" s="33"/>
      <c r="R307" s="33"/>
      <c r="S307" s="33"/>
    </row>
    <row r="308" spans="1:19" x14ac:dyDescent="0.25">
      <c r="A308" s="116" t="s">
        <v>204</v>
      </c>
      <c r="B308" s="32">
        <v>43893</v>
      </c>
      <c r="C308" s="39">
        <f t="shared" si="20"/>
        <v>0.33333333333333331</v>
      </c>
      <c r="D308" s="33">
        <v>0.33333333333333331</v>
      </c>
      <c r="E308" s="33">
        <v>0.5</v>
      </c>
      <c r="F308" s="39">
        <f t="shared" si="21"/>
        <v>0.54166666666666663</v>
      </c>
      <c r="G308" s="33">
        <v>0.54166666666666663</v>
      </c>
      <c r="H308" s="33">
        <v>0.75</v>
      </c>
      <c r="I308" s="39">
        <f>IFERROR(IF(B308=VLOOKUP(B308,Feriados[],2,0),H308,IF(N308="Sáb",H308,IF(AND(B308&lt;$T$1,H308&lt;=$AA$3),$Z$3,IF(AND(N308="Sex",H308&gt;$AA$3),H308,IF(H308&lt;=$AA$3,$Z$3,IF(H308&lt;=$AA$8,$Z$8,H308)))))),IF(N308="Sáb",H308,IF(AND(B308&lt;$T$1,H308&lt;=$AA$3),$Z$3,IF(AND(N308="Sex",H308&gt;$AA$3),H308,IF(H308&lt;=$AA$3,$Z$3,IF(H308&lt;=$AA$8,$Z$8,H308))))))</f>
        <v>0.75</v>
      </c>
      <c r="J308" s="33">
        <f t="shared" si="22"/>
        <v>0.37500000000000006</v>
      </c>
      <c r="K308" s="33">
        <f>IFERROR(IF(H308="","",IF(B308=VLOOKUP(B308,Feriados[],2,0),(H308-D308)-(G308-E308),IF(D308&lt;=$Y$4,(I308-D308)-(G308-E308),(I308-C308)-(F308-E308)))),IF(AND(D308&lt;=$Y$4,F308-E308=$AB$1),(I308-D308)-(F308-E308),IF(D308&lt;$Y$4,(I308-D308)-(G308-E308),(I308-C308)-(F308-E308))))</f>
        <v>0.37500000000000006</v>
      </c>
      <c r="L308" s="40" t="str">
        <f>IF(B308=_xlfn.XLOOKUP(B308,Feriados[FE Oficial],Feriados[FE Talvez],"",0),"",IF(Q308="Compensado","",IF(AND(N308="Sex",D308&lt;$Y$4),($Z$4-D308)+$AB$1-(F308-E308)+(I308-$Z$3),IF(AND(N308="Sex",I308&gt;$Z$3),($AB$1-(F308-E308))+(I308-$Z$3),IF(AND(N308="Sex",E308&lt;&gt;"",D308&lt;$Y$4),($Z$4-D308)+$AB$1-(F308-E308)+(I308-$Z$3),IF(N308="Sáb",(I308-D308)-(G308-E308)-(S308-R308),IF(AND(B308&lt;$T$1,I308&gt;$Z$3),H308-$Z$3,IF(D308&lt;$Y$4,($Z$4-D308)+($AB$1-(F308-E308))+(I308-$Z$8)+(S308-R308),IF(AND(S308&lt;&gt;"",D308&gt;$Z$4),(S308-R308)-($AB$1-(F308-E308)),IF(AND(S308&lt;&gt;"",D308&lt;$Y$4),(S308-R308)-($AB$1-(F308-E308)+($Z$4-D308)),IF(I308&gt;$Z$8,($AB$1-(F308-E308))+(I308-$Z$8),IF(AND(N308="Sex",(F308-E308)&lt;($AB$1-$W$1)),($AB$1-(F308-E308)),IF(AND(O308&gt;($AB$1-$W$1),D308&gt;$Z$4),"",IF(AND(B308&gt;=$T$1,(F308-E308)&gt;($AB$1-$W$1)),"",IF(AND(D308&gt;=$Y$4,I308=$Z$8,S308=""),($AB$1-(F308-E308)),IF(AND(P308&lt;&gt;"",S308&lt;&gt;""),I308-$Z$8,IF(AND(P308&lt;&gt;"",D308&gt;$Y$4),$AB$1-(F308-E308),"")))))))))))))))))</f>
        <v/>
      </c>
      <c r="M308" s="107" t="str">
        <f>IFERROR(IF(H308="","",IF(B308=VLOOKUP(B308,Feriados[],2,0),(H308-D308)-(G308-E308),"")),"")</f>
        <v/>
      </c>
      <c r="N308" s="38" t="str">
        <f t="shared" si="23"/>
        <v>Seg</v>
      </c>
      <c r="O308" s="112">
        <f t="shared" si="24"/>
        <v>4.166666666666663E-2</v>
      </c>
      <c r="P308" s="113" t="str">
        <f>IF(B308=_xlfn.XLOOKUP(B308,Feriados[FE Oficial],Feriados[FE Talvez],"",0),"",IF(B308&lt;$T$1,"",IF(Q308="Consulta","",IF(Q308="Compensado","",IF(N308="Sáb","",IF(S308&lt;&gt;"",(S308-R308)-(($AB$1-O308)-(D308-$Z$4)),IF(O308&gt;$AB$1,O308-$AB$1,IF(C308&gt;$Z$4,C308-$Z$4,IF(AND(N308="Sex",G308&lt;&gt;"",H308=""),$Z$3-G308,IF(AND(G308&lt;&gt;"",H308=""),$Z$3-G308,IF(AND(N308="Sex",H308&lt;$Y$3),$Z$3-H308,IF(AND(N308&lt;&gt;"Sex",H308&gt;$AA$8),"",IF(AND(N308="Sex",H308&gt;$Z$8),"",IF(AND(N308&lt;&gt;"Sex",I308&gt;$Z$8),$Z$8-H308,IF(AND(N308&lt;&gt;"Sex",H308&lt;$Y$8),$Z$8-H308,"")))))))))))))))</f>
        <v/>
      </c>
      <c r="Q308" s="33"/>
      <c r="R308" s="33"/>
      <c r="S308" s="33"/>
    </row>
    <row r="309" spans="1:19" x14ac:dyDescent="0.25">
      <c r="A309" s="115" t="s">
        <v>191</v>
      </c>
      <c r="B309" s="32">
        <v>43894</v>
      </c>
      <c r="C309" s="39">
        <f t="shared" si="20"/>
        <v>0.33333333333333331</v>
      </c>
      <c r="D309" s="33">
        <v>0.33333333333333331</v>
      </c>
      <c r="E309" s="33">
        <v>0.5</v>
      </c>
      <c r="F309" s="39">
        <f t="shared" si="21"/>
        <v>0.54166666666666663</v>
      </c>
      <c r="G309" s="33">
        <v>0.54166666666666663</v>
      </c>
      <c r="H309" s="33">
        <v>0.75</v>
      </c>
      <c r="I309" s="39">
        <f>IFERROR(IF(B309=VLOOKUP(B309,Feriados[],2,0),H309,IF(N309="Sáb",H309,IF(AND(B309&lt;$T$1,H309&lt;=$AA$3),$Z$3,IF(AND(N309="Sex",H309&gt;$AA$3),H309,IF(H309&lt;=$AA$3,$Z$3,IF(H309&lt;=$AA$8,$Z$8,H309)))))),IF(N309="Sáb",H309,IF(AND(B309&lt;$T$1,H309&lt;=$AA$3),$Z$3,IF(AND(N309="Sex",H309&gt;$AA$3),H309,IF(H309&lt;=$AA$3,$Z$3,IF(H309&lt;=$AA$8,$Z$8,H309))))))</f>
        <v>0.75</v>
      </c>
      <c r="J309" s="33">
        <f t="shared" si="22"/>
        <v>0.37500000000000006</v>
      </c>
      <c r="K309" s="33">
        <f>IFERROR(IF(H309="","",IF(B309=VLOOKUP(B309,Feriados[],2,0),(H309-D309)-(G309-E309),IF(D309&lt;=$Y$4,(I309-D309)-(G309-E309),(I309-C309)-(F309-E309)))),IF(AND(D309&lt;=$Y$4,F309-E309=$AB$1),(I309-D309)-(F309-E309),IF(D309&lt;$Y$4,(I309-D309)-(G309-E309),(I309-C309)-(F309-E309))))</f>
        <v>0.37500000000000006</v>
      </c>
      <c r="L309" s="40" t="str">
        <f>IF(B309=_xlfn.XLOOKUP(B309,Feriados[FE Oficial],Feriados[FE Talvez],"",0),"",IF(Q309="Compensado","",IF(AND(N309="Sex",D309&lt;$Y$4),($Z$4-D309)+$AB$1-(F309-E309)+(I309-$Z$3),IF(AND(N309="Sex",I309&gt;$Z$3),($AB$1-(F309-E309))+(I309-$Z$3),IF(AND(N309="Sex",E309&lt;&gt;"",D309&lt;$Y$4),($Z$4-D309)+$AB$1-(F309-E309)+(I309-$Z$3),IF(N309="Sáb",(I309-D309)-(G309-E309)-(S309-R309),IF(AND(B309&lt;$T$1,I309&gt;$Z$3),H309-$Z$3,IF(D309&lt;$Y$4,($Z$4-D309)+($AB$1-(F309-E309))+(I309-$Z$8)+(S309-R309),IF(AND(S309&lt;&gt;"",D309&gt;$Z$4),(S309-R309)-($AB$1-(F309-E309)),IF(AND(S309&lt;&gt;"",D309&lt;$Y$4),(S309-R309)-($AB$1-(F309-E309)+($Z$4-D309)),IF(I309&gt;$Z$8,($AB$1-(F309-E309))+(I309-$Z$8),IF(AND(N309="Sex",(F309-E309)&lt;($AB$1-$W$1)),($AB$1-(F309-E309)),IF(AND(O309&gt;($AB$1-$W$1),D309&gt;$Z$4),"",IF(AND(B309&gt;=$T$1,(F309-E309)&gt;($AB$1-$W$1)),"",IF(AND(D309&gt;=$Y$4,I309=$Z$8,S309=""),($AB$1-(F309-E309)),IF(AND(P309&lt;&gt;"",S309&lt;&gt;""),I309-$Z$8,IF(AND(P309&lt;&gt;"",D309&gt;$Y$4),$AB$1-(F309-E309),"")))))))))))))))))</f>
        <v/>
      </c>
      <c r="M309" s="107" t="str">
        <f>IFERROR(IF(H309="","",IF(B309=VLOOKUP(B309,Feriados[],2,0),(H309-D309)-(G309-E309),"")),"")</f>
        <v/>
      </c>
      <c r="N309" s="38" t="str">
        <f t="shared" si="23"/>
        <v>Ter</v>
      </c>
      <c r="O309" s="112">
        <f t="shared" si="24"/>
        <v>4.166666666666663E-2</v>
      </c>
      <c r="P309" s="113" t="str">
        <f>IF(B309=_xlfn.XLOOKUP(B309,Feriados[FE Oficial],Feriados[FE Talvez],"",0),"",IF(B309&lt;$T$1,"",IF(Q309="Consulta","",IF(Q309="Compensado","",IF(N309="Sáb","",IF(S309&lt;&gt;"",(S309-R309)-(($AB$1-O309)-(D309-$Z$4)),IF(O309&gt;$AB$1,O309-$AB$1,IF(C309&gt;$Z$4,C309-$Z$4,IF(AND(N309="Sex",G309&lt;&gt;"",H309=""),$Z$3-G309,IF(AND(G309&lt;&gt;"",H309=""),$Z$3-G309,IF(AND(N309="Sex",H309&lt;$Y$3),$Z$3-H309,IF(AND(N309&lt;&gt;"Sex",H309&gt;$AA$8),"",IF(AND(N309="Sex",H309&gt;$Z$8),"",IF(AND(N309&lt;&gt;"Sex",I309&gt;$Z$8),$Z$8-H309,IF(AND(N309&lt;&gt;"Sex",H309&lt;$Y$8),$Z$8-H309,"")))))))))))))))</f>
        <v/>
      </c>
      <c r="Q309" s="33"/>
      <c r="R309" s="33"/>
      <c r="S309" s="33"/>
    </row>
    <row r="310" spans="1:19" x14ac:dyDescent="0.25">
      <c r="A310" s="116" t="s">
        <v>204</v>
      </c>
      <c r="B310" s="32">
        <v>43894</v>
      </c>
      <c r="C310" s="39">
        <f t="shared" si="20"/>
        <v>0.33333333333333331</v>
      </c>
      <c r="D310" s="33">
        <v>0.33333333333333331</v>
      </c>
      <c r="E310" s="33">
        <v>0.5</v>
      </c>
      <c r="F310" s="39">
        <f t="shared" si="21"/>
        <v>0.54166666666666663</v>
      </c>
      <c r="G310" s="33">
        <v>0.54166666666666663</v>
      </c>
      <c r="H310" s="33">
        <v>0.75</v>
      </c>
      <c r="I310" s="39">
        <f>IFERROR(IF(B310=VLOOKUP(B310,Feriados[],2,0),H310,IF(N310="Sáb",H310,IF(AND(B310&lt;$T$1,H310&lt;=$AA$3),$Z$3,IF(AND(N310="Sex",H310&gt;$AA$3),H310,IF(H310&lt;=$AA$3,$Z$3,IF(H310&lt;=$AA$8,$Z$8,H310)))))),IF(N310="Sáb",H310,IF(AND(B310&lt;$T$1,H310&lt;=$AA$3),$Z$3,IF(AND(N310="Sex",H310&gt;$AA$3),H310,IF(H310&lt;=$AA$3,$Z$3,IF(H310&lt;=$AA$8,$Z$8,H310))))))</f>
        <v>0.75</v>
      </c>
      <c r="J310" s="33">
        <f t="shared" si="22"/>
        <v>0.37500000000000006</v>
      </c>
      <c r="K310" s="33">
        <f>IFERROR(IF(H310="","",IF(B310=VLOOKUP(B310,Feriados[],2,0),(H310-D310)-(G310-E310),IF(D310&lt;=$Y$4,(I310-D310)-(G310-E310),(I310-C310)-(F310-E310)))),IF(AND(D310&lt;=$Y$4,F310-E310=$AB$1),(I310-D310)-(F310-E310),IF(D310&lt;$Y$4,(I310-D310)-(G310-E310),(I310-C310)-(F310-E310))))</f>
        <v>0.37500000000000006</v>
      </c>
      <c r="L310" s="40" t="str">
        <f>IF(B310=_xlfn.XLOOKUP(B310,Feriados[FE Oficial],Feriados[FE Talvez],"",0),"",IF(Q310="Compensado","",IF(AND(N310="Sex",D310&lt;$Y$4),($Z$4-D310)+$AB$1-(F310-E310)+(I310-$Z$3),IF(AND(N310="Sex",I310&gt;$Z$3),($AB$1-(F310-E310))+(I310-$Z$3),IF(AND(N310="Sex",E310&lt;&gt;"",D310&lt;$Y$4),($Z$4-D310)+$AB$1-(F310-E310)+(I310-$Z$3),IF(N310="Sáb",(I310-D310)-(G310-E310)-(S310-R310),IF(AND(B310&lt;$T$1,I310&gt;$Z$3),H310-$Z$3,IF(D310&lt;$Y$4,($Z$4-D310)+($AB$1-(F310-E310))+(I310-$Z$8)+(S310-R310),IF(AND(S310&lt;&gt;"",D310&gt;$Z$4),(S310-R310)-($AB$1-(F310-E310)),IF(AND(S310&lt;&gt;"",D310&lt;$Y$4),(S310-R310)-($AB$1-(F310-E310)+($Z$4-D310)),IF(I310&gt;$Z$8,($AB$1-(F310-E310))+(I310-$Z$8),IF(AND(N310="Sex",(F310-E310)&lt;($AB$1-$W$1)),($AB$1-(F310-E310)),IF(AND(O310&gt;($AB$1-$W$1),D310&gt;$Z$4),"",IF(AND(B310&gt;=$T$1,(F310-E310)&gt;($AB$1-$W$1)),"",IF(AND(D310&gt;=$Y$4,I310=$Z$8,S310=""),($AB$1-(F310-E310)),IF(AND(P310&lt;&gt;"",S310&lt;&gt;""),I310-$Z$8,IF(AND(P310&lt;&gt;"",D310&gt;$Y$4),$AB$1-(F310-E310),"")))))))))))))))))</f>
        <v/>
      </c>
      <c r="M310" s="107" t="str">
        <f>IFERROR(IF(H310="","",IF(B310=VLOOKUP(B310,Feriados[],2,0),(H310-D310)-(G310-E310),"")),"")</f>
        <v/>
      </c>
      <c r="N310" s="38" t="str">
        <f t="shared" si="23"/>
        <v>Ter</v>
      </c>
      <c r="O310" s="112">
        <f t="shared" si="24"/>
        <v>4.166666666666663E-2</v>
      </c>
      <c r="P310" s="113" t="str">
        <f>IF(B310=_xlfn.XLOOKUP(B310,Feriados[FE Oficial],Feriados[FE Talvez],"",0),"",IF(B310&lt;$T$1,"",IF(Q310="Consulta","",IF(Q310="Compensado","",IF(N310="Sáb","",IF(S310&lt;&gt;"",(S310-R310)-(($AB$1-O310)-(D310-$Z$4)),IF(O310&gt;$AB$1,O310-$AB$1,IF(C310&gt;$Z$4,C310-$Z$4,IF(AND(N310="Sex",G310&lt;&gt;"",H310=""),$Z$3-G310,IF(AND(G310&lt;&gt;"",H310=""),$Z$3-G310,IF(AND(N310="Sex",H310&lt;$Y$3),$Z$3-H310,IF(AND(N310&lt;&gt;"Sex",H310&gt;$AA$8),"",IF(AND(N310="Sex",H310&gt;$Z$8),"",IF(AND(N310&lt;&gt;"Sex",I310&gt;$Z$8),$Z$8-H310,IF(AND(N310&lt;&gt;"Sex",H310&lt;$Y$8),$Z$8-H310,"")))))))))))))))</f>
        <v/>
      </c>
      <c r="Q310" s="33"/>
      <c r="R310" s="33"/>
      <c r="S310" s="33"/>
    </row>
    <row r="311" spans="1:19" x14ac:dyDescent="0.25">
      <c r="A311" s="116" t="s">
        <v>191</v>
      </c>
      <c r="B311" s="32">
        <v>43895</v>
      </c>
      <c r="C311" s="39">
        <f t="shared" si="20"/>
        <v>0.33333333333333331</v>
      </c>
      <c r="D311" s="33">
        <v>0.33333333333333331</v>
      </c>
      <c r="E311" s="33">
        <v>0.5</v>
      </c>
      <c r="F311" s="39">
        <f t="shared" si="21"/>
        <v>0.54166666666666663</v>
      </c>
      <c r="G311" s="33">
        <v>0.54166666666666663</v>
      </c>
      <c r="H311" s="33">
        <v>0.75</v>
      </c>
      <c r="I311" s="39">
        <f>IFERROR(IF(B311=VLOOKUP(B311,Feriados[],2,0),H311,IF(N311="Sáb",H311,IF(AND(B311&lt;$T$1,H311&lt;=$AA$3),$Z$3,IF(AND(N311="Sex",H311&gt;$AA$3),H311,IF(H311&lt;=$AA$3,$Z$3,IF(H311&lt;=$AA$8,$Z$8,H311)))))),IF(N311="Sáb",H311,IF(AND(B311&lt;$T$1,H311&lt;=$AA$3),$Z$3,IF(AND(N311="Sex",H311&gt;$AA$3),H311,IF(H311&lt;=$AA$3,$Z$3,IF(H311&lt;=$AA$8,$Z$8,H311))))))</f>
        <v>0.75</v>
      </c>
      <c r="J311" s="33">
        <f t="shared" si="22"/>
        <v>0.37500000000000006</v>
      </c>
      <c r="K311" s="33">
        <f>IFERROR(IF(H311="","",IF(B311=VLOOKUP(B311,Feriados[],2,0),(H311-D311)-(G311-E311),IF(D311&lt;=$Y$4,(I311-D311)-(G311-E311),(I311-C311)-(F311-E311)))),IF(AND(D311&lt;=$Y$4,F311-E311=$AB$1),(I311-D311)-(F311-E311),IF(D311&lt;$Y$4,(I311-D311)-(G311-E311),(I311-C311)-(F311-E311))))</f>
        <v>0.37500000000000006</v>
      </c>
      <c r="L311" s="40" t="str">
        <f>IF(B311=_xlfn.XLOOKUP(B311,Feriados[FE Oficial],Feriados[FE Talvez],"",0),"",IF(Q311="Compensado","",IF(AND(N311="Sex",D311&lt;$Y$4),($Z$4-D311)+$AB$1-(F311-E311)+(I311-$Z$3),IF(AND(N311="Sex",I311&gt;$Z$3),($AB$1-(F311-E311))+(I311-$Z$3),IF(AND(N311="Sex",E311&lt;&gt;"",D311&lt;$Y$4),($Z$4-D311)+$AB$1-(F311-E311)+(I311-$Z$3),IF(N311="Sáb",(I311-D311)-(G311-E311)-(S311-R311),IF(AND(B311&lt;$T$1,I311&gt;$Z$3),H311-$Z$3,IF(D311&lt;$Y$4,($Z$4-D311)+($AB$1-(F311-E311))+(I311-$Z$8)+(S311-R311),IF(AND(S311&lt;&gt;"",D311&gt;$Z$4),(S311-R311)-($AB$1-(F311-E311)),IF(AND(S311&lt;&gt;"",D311&lt;$Y$4),(S311-R311)-($AB$1-(F311-E311)+($Z$4-D311)),IF(I311&gt;$Z$8,($AB$1-(F311-E311))+(I311-$Z$8),IF(AND(N311="Sex",(F311-E311)&lt;($AB$1-$W$1)),($AB$1-(F311-E311)),IF(AND(O311&gt;($AB$1-$W$1),D311&gt;$Z$4),"",IF(AND(B311&gt;=$T$1,(F311-E311)&gt;($AB$1-$W$1)),"",IF(AND(D311&gt;=$Y$4,I311=$Z$8,S311=""),($AB$1-(F311-E311)),IF(AND(P311&lt;&gt;"",S311&lt;&gt;""),I311-$Z$8,IF(AND(P311&lt;&gt;"",D311&gt;$Y$4),$AB$1-(F311-E311),"")))))))))))))))))</f>
        <v/>
      </c>
      <c r="M311" s="107" t="str">
        <f>IFERROR(IF(H311="","",IF(B311=VLOOKUP(B311,Feriados[],2,0),(H311-D311)-(G311-E311),"")),"")</f>
        <v/>
      </c>
      <c r="N311" s="38" t="str">
        <f t="shared" si="23"/>
        <v>Qua</v>
      </c>
      <c r="O311" s="112">
        <f t="shared" si="24"/>
        <v>4.166666666666663E-2</v>
      </c>
      <c r="P311" s="113" t="str">
        <f>IF(B311=_xlfn.XLOOKUP(B311,Feriados[FE Oficial],Feriados[FE Talvez],"",0),"",IF(B311&lt;$T$1,"",IF(Q311="Consulta","",IF(Q311="Compensado","",IF(N311="Sáb","",IF(S311&lt;&gt;"",(S311-R311)-(($AB$1-O311)-(D311-$Z$4)),IF(O311&gt;$AB$1,O311-$AB$1,IF(C311&gt;$Z$4,C311-$Z$4,IF(AND(N311="Sex",G311&lt;&gt;"",H311=""),$Z$3-G311,IF(AND(G311&lt;&gt;"",H311=""),$Z$3-G311,IF(AND(N311="Sex",H311&lt;$Y$3),$Z$3-H311,IF(AND(N311&lt;&gt;"Sex",H311&gt;$AA$8),"",IF(AND(N311="Sex",H311&gt;$Z$8),"",IF(AND(N311&lt;&gt;"Sex",I311&gt;$Z$8),$Z$8-H311,IF(AND(N311&lt;&gt;"Sex",H311&lt;$Y$8),$Z$8-H311,"")))))))))))))))</f>
        <v/>
      </c>
      <c r="Q311" s="33"/>
      <c r="R311" s="33"/>
      <c r="S311" s="33"/>
    </row>
    <row r="312" spans="1:19" x14ac:dyDescent="0.25">
      <c r="A312" s="116" t="s">
        <v>204</v>
      </c>
      <c r="B312" s="32">
        <v>43895</v>
      </c>
      <c r="C312" s="39">
        <f t="shared" si="20"/>
        <v>0.33333333333333331</v>
      </c>
      <c r="D312" s="33">
        <v>0.33333333333333331</v>
      </c>
      <c r="E312" s="33">
        <v>0.5</v>
      </c>
      <c r="F312" s="39">
        <f t="shared" si="21"/>
        <v>0.54166666666666663</v>
      </c>
      <c r="G312" s="33">
        <v>0.54166666666666663</v>
      </c>
      <c r="H312" s="33">
        <v>0.75</v>
      </c>
      <c r="I312" s="39">
        <f>IFERROR(IF(B312=VLOOKUP(B312,Feriados[],2,0),H312,IF(N312="Sáb",H312,IF(AND(B312&lt;$T$1,H312&lt;=$AA$3),$Z$3,IF(AND(N312="Sex",H312&gt;$AA$3),H312,IF(H312&lt;=$AA$3,$Z$3,IF(H312&lt;=$AA$8,$Z$8,H312)))))),IF(N312="Sáb",H312,IF(AND(B312&lt;$T$1,H312&lt;=$AA$3),$Z$3,IF(AND(N312="Sex",H312&gt;$AA$3),H312,IF(H312&lt;=$AA$3,$Z$3,IF(H312&lt;=$AA$8,$Z$8,H312))))))</f>
        <v>0.75</v>
      </c>
      <c r="J312" s="33">
        <f t="shared" si="22"/>
        <v>0.37500000000000006</v>
      </c>
      <c r="K312" s="33">
        <f>IFERROR(IF(H312="","",IF(B312=VLOOKUP(B312,Feriados[],2,0),(H312-D312)-(G312-E312),IF(D312&lt;=$Y$4,(I312-D312)-(G312-E312),(I312-C312)-(F312-E312)))),IF(AND(D312&lt;=$Y$4,F312-E312=$AB$1),(I312-D312)-(F312-E312),IF(D312&lt;$Y$4,(I312-D312)-(G312-E312),(I312-C312)-(F312-E312))))</f>
        <v>0.37500000000000006</v>
      </c>
      <c r="L312" s="40" t="str">
        <f>IF(B312=_xlfn.XLOOKUP(B312,Feriados[FE Oficial],Feriados[FE Talvez],"",0),"",IF(Q312="Compensado","",IF(AND(N312="Sex",D312&lt;$Y$4),($Z$4-D312)+$AB$1-(F312-E312)+(I312-$Z$3),IF(AND(N312="Sex",I312&gt;$Z$3),($AB$1-(F312-E312))+(I312-$Z$3),IF(AND(N312="Sex",E312&lt;&gt;"",D312&lt;$Y$4),($Z$4-D312)+$AB$1-(F312-E312)+(I312-$Z$3),IF(N312="Sáb",(I312-D312)-(G312-E312)-(S312-R312),IF(AND(B312&lt;$T$1,I312&gt;$Z$3),H312-$Z$3,IF(D312&lt;$Y$4,($Z$4-D312)+($AB$1-(F312-E312))+(I312-$Z$8)+(S312-R312),IF(AND(S312&lt;&gt;"",D312&gt;$Z$4),(S312-R312)-($AB$1-(F312-E312)),IF(AND(S312&lt;&gt;"",D312&lt;$Y$4),(S312-R312)-($AB$1-(F312-E312)+($Z$4-D312)),IF(I312&gt;$Z$8,($AB$1-(F312-E312))+(I312-$Z$8),IF(AND(N312="Sex",(F312-E312)&lt;($AB$1-$W$1)),($AB$1-(F312-E312)),IF(AND(O312&gt;($AB$1-$W$1),D312&gt;$Z$4),"",IF(AND(B312&gt;=$T$1,(F312-E312)&gt;($AB$1-$W$1)),"",IF(AND(D312&gt;=$Y$4,I312=$Z$8,S312=""),($AB$1-(F312-E312)),IF(AND(P312&lt;&gt;"",S312&lt;&gt;""),I312-$Z$8,IF(AND(P312&lt;&gt;"",D312&gt;$Y$4),$AB$1-(F312-E312),"")))))))))))))))))</f>
        <v/>
      </c>
      <c r="M312" s="107" t="str">
        <f>IFERROR(IF(H312="","",IF(B312=VLOOKUP(B312,Feriados[],2,0),(H312-D312)-(G312-E312),"")),"")</f>
        <v/>
      </c>
      <c r="N312" s="38" t="str">
        <f t="shared" si="23"/>
        <v>Qua</v>
      </c>
      <c r="O312" s="112">
        <f t="shared" si="24"/>
        <v>4.166666666666663E-2</v>
      </c>
      <c r="P312" s="113" t="str">
        <f>IF(B312=_xlfn.XLOOKUP(B312,Feriados[FE Oficial],Feriados[FE Talvez],"",0),"",IF(B312&lt;$T$1,"",IF(Q312="Consulta","",IF(Q312="Compensado","",IF(N312="Sáb","",IF(S312&lt;&gt;"",(S312-R312)-(($AB$1-O312)-(D312-$Z$4)),IF(O312&gt;$AB$1,O312-$AB$1,IF(C312&gt;$Z$4,C312-$Z$4,IF(AND(N312="Sex",G312&lt;&gt;"",H312=""),$Z$3-G312,IF(AND(G312&lt;&gt;"",H312=""),$Z$3-G312,IF(AND(N312="Sex",H312&lt;$Y$3),$Z$3-H312,IF(AND(N312&lt;&gt;"Sex",H312&gt;$AA$8),"",IF(AND(N312="Sex",H312&gt;$Z$8),"",IF(AND(N312&lt;&gt;"Sex",I312&gt;$Z$8),$Z$8-H312,IF(AND(N312&lt;&gt;"Sex",H312&lt;$Y$8),$Z$8-H312,"")))))))))))))))</f>
        <v/>
      </c>
      <c r="Q312" s="33"/>
      <c r="R312" s="33"/>
      <c r="S312" s="33"/>
    </row>
    <row r="313" spans="1:19" x14ac:dyDescent="0.25">
      <c r="A313" s="115" t="s">
        <v>191</v>
      </c>
      <c r="B313" s="32">
        <v>43896</v>
      </c>
      <c r="C313" s="39">
        <f t="shared" si="20"/>
        <v>0.33333333333333331</v>
      </c>
      <c r="D313" s="33">
        <v>0.33333333333333331</v>
      </c>
      <c r="E313" s="33">
        <v>0.5</v>
      </c>
      <c r="F313" s="39">
        <f t="shared" si="21"/>
        <v>0.54166666666666663</v>
      </c>
      <c r="G313" s="33">
        <v>0.54166666666666663</v>
      </c>
      <c r="H313" s="33">
        <v>0.75</v>
      </c>
      <c r="I313" s="39">
        <f>IFERROR(IF(B313=VLOOKUP(B313,Feriados[],2,0),H313,IF(N313="Sáb",H313,IF(AND(B313&lt;$T$1,H313&lt;=$AA$3),$Z$3,IF(AND(N313="Sex",H313&gt;$AA$3),H313,IF(H313&lt;=$AA$3,$Z$3,IF(H313&lt;=$AA$8,$Z$8,H313)))))),IF(N313="Sáb",H313,IF(AND(B313&lt;$T$1,H313&lt;=$AA$3),$Z$3,IF(AND(N313="Sex",H313&gt;$AA$3),H313,IF(H313&lt;=$AA$3,$Z$3,IF(H313&lt;=$AA$8,$Z$8,H313))))))</f>
        <v>0.75</v>
      </c>
      <c r="J313" s="33">
        <f t="shared" si="22"/>
        <v>0.37500000000000006</v>
      </c>
      <c r="K313" s="33">
        <f>IFERROR(IF(H313="","",IF(B313=VLOOKUP(B313,Feriados[],2,0),(H313-D313)-(G313-E313),IF(D313&lt;=$Y$4,(I313-D313)-(G313-E313),(I313-C313)-(F313-E313)))),IF(AND(D313&lt;=$Y$4,F313-E313=$AB$1),(I313-D313)-(F313-E313),IF(D313&lt;$Y$4,(I313-D313)-(G313-E313),(I313-C313)-(F313-E313))))</f>
        <v>0.37500000000000006</v>
      </c>
      <c r="L313" s="40" t="str">
        <f>IF(B313=_xlfn.XLOOKUP(B313,Feriados[FE Oficial],Feriados[FE Talvez],"",0),"",IF(Q313="Compensado","",IF(AND(N313="Sex",D313&lt;$Y$4),($Z$4-D313)+$AB$1-(F313-E313)+(I313-$Z$3),IF(AND(N313="Sex",I313&gt;$Z$3),($AB$1-(F313-E313))+(I313-$Z$3),IF(AND(N313="Sex",E313&lt;&gt;"",D313&lt;$Y$4),($Z$4-D313)+$AB$1-(F313-E313)+(I313-$Z$3),IF(N313="Sáb",(I313-D313)-(G313-E313)-(S313-R313),IF(AND(B313&lt;$T$1,I313&gt;$Z$3),H313-$Z$3,IF(D313&lt;$Y$4,($Z$4-D313)+($AB$1-(F313-E313))+(I313-$Z$8)+(S313-R313),IF(AND(S313&lt;&gt;"",D313&gt;$Z$4),(S313-R313)-($AB$1-(F313-E313)),IF(AND(S313&lt;&gt;"",D313&lt;$Y$4),(S313-R313)-($AB$1-(F313-E313)+($Z$4-D313)),IF(I313&gt;$Z$8,($AB$1-(F313-E313))+(I313-$Z$8),IF(AND(N313="Sex",(F313-E313)&lt;($AB$1-$W$1)),($AB$1-(F313-E313)),IF(AND(O313&gt;($AB$1-$W$1),D313&gt;$Z$4),"",IF(AND(B313&gt;=$T$1,(F313-E313)&gt;($AB$1-$W$1)),"",IF(AND(D313&gt;=$Y$4,I313=$Z$8,S313=""),($AB$1-(F313-E313)),IF(AND(P313&lt;&gt;"",S313&lt;&gt;""),I313-$Z$8,IF(AND(P313&lt;&gt;"",D313&gt;$Y$4),$AB$1-(F313-E313),"")))))))))))))))))</f>
        <v/>
      </c>
      <c r="M313" s="107" t="str">
        <f>IFERROR(IF(H313="","",IF(B313=VLOOKUP(B313,Feriados[],2,0),(H313-D313)-(G313-E313),"")),"")</f>
        <v/>
      </c>
      <c r="N313" s="38" t="str">
        <f t="shared" si="23"/>
        <v>Qui</v>
      </c>
      <c r="O313" s="112">
        <f t="shared" si="24"/>
        <v>4.166666666666663E-2</v>
      </c>
      <c r="P313" s="113" t="str">
        <f>IF(B313=_xlfn.XLOOKUP(B313,Feriados[FE Oficial],Feriados[FE Talvez],"",0),"",IF(B313&lt;$T$1,"",IF(Q313="Consulta","",IF(Q313="Compensado","",IF(N313="Sáb","",IF(S313&lt;&gt;"",(S313-R313)-(($AB$1-O313)-(D313-$Z$4)),IF(O313&gt;$AB$1,O313-$AB$1,IF(C313&gt;$Z$4,C313-$Z$4,IF(AND(N313="Sex",G313&lt;&gt;"",H313=""),$Z$3-G313,IF(AND(G313&lt;&gt;"",H313=""),$Z$3-G313,IF(AND(N313="Sex",H313&lt;$Y$3),$Z$3-H313,IF(AND(N313&lt;&gt;"Sex",H313&gt;$AA$8),"",IF(AND(N313="Sex",H313&gt;$Z$8),"",IF(AND(N313&lt;&gt;"Sex",I313&gt;$Z$8),$Z$8-H313,IF(AND(N313&lt;&gt;"Sex",H313&lt;$Y$8),$Z$8-H313,"")))))))))))))))</f>
        <v/>
      </c>
      <c r="Q313" s="33"/>
      <c r="R313" s="33"/>
      <c r="S313" s="33"/>
    </row>
    <row r="314" spans="1:19" x14ac:dyDescent="0.25">
      <c r="A314" s="116" t="s">
        <v>204</v>
      </c>
      <c r="B314" s="32">
        <v>43896</v>
      </c>
      <c r="C314" s="39">
        <f t="shared" si="20"/>
        <v>0.33333333333333331</v>
      </c>
      <c r="D314" s="33">
        <v>0.33333333333333331</v>
      </c>
      <c r="E314" s="33">
        <v>0.5</v>
      </c>
      <c r="F314" s="39">
        <f t="shared" si="21"/>
        <v>0.54166666666666663</v>
      </c>
      <c r="G314" s="33">
        <v>0.54166666666666663</v>
      </c>
      <c r="H314" s="33">
        <v>0.75</v>
      </c>
      <c r="I314" s="39">
        <f>IFERROR(IF(B314=VLOOKUP(B314,Feriados[],2,0),H314,IF(N314="Sáb",H314,IF(AND(B314&lt;$T$1,H314&lt;=$AA$3),$Z$3,IF(AND(N314="Sex",H314&gt;$AA$3),H314,IF(H314&lt;=$AA$3,$Z$3,IF(H314&lt;=$AA$8,$Z$8,H314)))))),IF(N314="Sáb",H314,IF(AND(B314&lt;$T$1,H314&lt;=$AA$3),$Z$3,IF(AND(N314="Sex",H314&gt;$AA$3),H314,IF(H314&lt;=$AA$3,$Z$3,IF(H314&lt;=$AA$8,$Z$8,H314))))))</f>
        <v>0.75</v>
      </c>
      <c r="J314" s="33">
        <f t="shared" si="22"/>
        <v>0.37500000000000006</v>
      </c>
      <c r="K314" s="33">
        <f>IFERROR(IF(H314="","",IF(B314=VLOOKUP(B314,Feriados[],2,0),(H314-D314)-(G314-E314),IF(D314&lt;=$Y$4,(I314-D314)-(G314-E314),(I314-C314)-(F314-E314)))),IF(AND(D314&lt;=$Y$4,F314-E314=$AB$1),(I314-D314)-(F314-E314),IF(D314&lt;$Y$4,(I314-D314)-(G314-E314),(I314-C314)-(F314-E314))))</f>
        <v>0.37500000000000006</v>
      </c>
      <c r="L314" s="40" t="str">
        <f>IF(B314=_xlfn.XLOOKUP(B314,Feriados[FE Oficial],Feriados[FE Talvez],"",0),"",IF(Q314="Compensado","",IF(AND(N314="Sex",D314&lt;$Y$4),($Z$4-D314)+$AB$1-(F314-E314)+(I314-$Z$3),IF(AND(N314="Sex",I314&gt;$Z$3),($AB$1-(F314-E314))+(I314-$Z$3),IF(AND(N314="Sex",E314&lt;&gt;"",D314&lt;$Y$4),($Z$4-D314)+$AB$1-(F314-E314)+(I314-$Z$3),IF(N314="Sáb",(I314-D314)-(G314-E314)-(S314-R314),IF(AND(B314&lt;$T$1,I314&gt;$Z$3),H314-$Z$3,IF(D314&lt;$Y$4,($Z$4-D314)+($AB$1-(F314-E314))+(I314-$Z$8)+(S314-R314),IF(AND(S314&lt;&gt;"",D314&gt;$Z$4),(S314-R314)-($AB$1-(F314-E314)),IF(AND(S314&lt;&gt;"",D314&lt;$Y$4),(S314-R314)-($AB$1-(F314-E314)+($Z$4-D314)),IF(I314&gt;$Z$8,($AB$1-(F314-E314))+(I314-$Z$8),IF(AND(N314="Sex",(F314-E314)&lt;($AB$1-$W$1)),($AB$1-(F314-E314)),IF(AND(O314&gt;($AB$1-$W$1),D314&gt;$Z$4),"",IF(AND(B314&gt;=$T$1,(F314-E314)&gt;($AB$1-$W$1)),"",IF(AND(D314&gt;=$Y$4,I314=$Z$8,S314=""),($AB$1-(F314-E314)),IF(AND(P314&lt;&gt;"",S314&lt;&gt;""),I314-$Z$8,IF(AND(P314&lt;&gt;"",D314&gt;$Y$4),$AB$1-(F314-E314),"")))))))))))))))))</f>
        <v/>
      </c>
      <c r="M314" s="107" t="str">
        <f>IFERROR(IF(H314="","",IF(B314=VLOOKUP(B314,Feriados[],2,0),(H314-D314)-(G314-E314),"")),"")</f>
        <v/>
      </c>
      <c r="N314" s="38" t="str">
        <f t="shared" si="23"/>
        <v>Qui</v>
      </c>
      <c r="O314" s="112">
        <f t="shared" si="24"/>
        <v>4.166666666666663E-2</v>
      </c>
      <c r="P314" s="113" t="str">
        <f>IF(B314=_xlfn.XLOOKUP(B314,Feriados[FE Oficial],Feriados[FE Talvez],"",0),"",IF(B314&lt;$T$1,"",IF(Q314="Consulta","",IF(Q314="Compensado","",IF(N314="Sáb","",IF(S314&lt;&gt;"",(S314-R314)-(($AB$1-O314)-(D314-$Z$4)),IF(O314&gt;$AB$1,O314-$AB$1,IF(C314&gt;$Z$4,C314-$Z$4,IF(AND(N314="Sex",G314&lt;&gt;"",H314=""),$Z$3-G314,IF(AND(G314&lt;&gt;"",H314=""),$Z$3-G314,IF(AND(N314="Sex",H314&lt;$Y$3),$Z$3-H314,IF(AND(N314&lt;&gt;"Sex",H314&gt;$AA$8),"",IF(AND(N314="Sex",H314&gt;$Z$8),"",IF(AND(N314&lt;&gt;"Sex",I314&gt;$Z$8),$Z$8-H314,IF(AND(N314&lt;&gt;"Sex",H314&lt;$Y$8),$Z$8-H314,"")))))))))))))))</f>
        <v/>
      </c>
      <c r="Q314" s="33"/>
      <c r="R314" s="33"/>
      <c r="S314" s="33"/>
    </row>
    <row r="315" spans="1:19" x14ac:dyDescent="0.25">
      <c r="A315" s="115" t="s">
        <v>191</v>
      </c>
      <c r="B315" s="32">
        <v>43897</v>
      </c>
      <c r="C315" s="39">
        <f t="shared" si="20"/>
        <v>0.33333333333333331</v>
      </c>
      <c r="D315" s="33">
        <v>0.33333333333333331</v>
      </c>
      <c r="E315" s="33">
        <v>0.5</v>
      </c>
      <c r="F315" s="39">
        <f t="shared" si="21"/>
        <v>0.54166666666666663</v>
      </c>
      <c r="G315" s="33">
        <v>0.54166666666666663</v>
      </c>
      <c r="H315" s="33">
        <v>0.70833333333333337</v>
      </c>
      <c r="I315" s="39">
        <f>IFERROR(IF(B315=VLOOKUP(B315,Feriados[],2,0),H315,IF(N315="Sáb",H315,IF(AND(B315&lt;$T$1,H315&lt;=$AA$3),$Z$3,IF(AND(N315="Sex",H315&gt;$AA$3),H315,IF(H315&lt;=$AA$3,$Z$3,IF(H315&lt;=$AA$8,$Z$8,H315)))))),IF(N315="Sáb",H315,IF(AND(B315&lt;$T$1,H315&lt;=$AA$3),$Z$3,IF(AND(N315="Sex",H315&gt;$AA$3),H315,IF(H315&lt;=$AA$3,$Z$3,IF(H315&lt;=$AA$8,$Z$8,H315))))))</f>
        <v>0.70833333333333337</v>
      </c>
      <c r="J315" s="33">
        <f t="shared" si="22"/>
        <v>0.33333333333333343</v>
      </c>
      <c r="K315" s="33">
        <f>IFERROR(IF(H315="","",IF(B315=VLOOKUP(B315,Feriados[],2,0),(H315-D315)-(G315-E315),IF(D315&lt;=$Y$4,(I315-D315)-(G315-E315),(I315-C315)-(F315-E315)))),IF(AND(D315&lt;=$Y$4,F315-E315=$AB$1),(I315-D315)-(F315-E315),IF(D315&lt;$Y$4,(I315-D315)-(G315-E315),(I315-C315)-(F315-E315))))</f>
        <v>0.33333333333333343</v>
      </c>
      <c r="L315" s="40" t="str">
        <f>IF(B315=_xlfn.XLOOKUP(B315,Feriados[FE Oficial],Feriados[FE Talvez],"",0),"",IF(Q315="Compensado","",IF(AND(N315="Sex",D315&lt;$Y$4),($Z$4-D315)+$AB$1-(F315-E315)+(I315-$Z$3),IF(AND(N315="Sex",I315&gt;$Z$3),($AB$1-(F315-E315))+(I315-$Z$3),IF(AND(N315="Sex",E315&lt;&gt;"",D315&lt;$Y$4),($Z$4-D315)+$AB$1-(F315-E315)+(I315-$Z$3),IF(N315="Sáb",(I315-D315)-(G315-E315)-(S315-R315),IF(AND(B315&lt;$T$1,I315&gt;$Z$3),H315-$Z$3,IF(D315&lt;$Y$4,($Z$4-D315)+($AB$1-(F315-E315))+(I315-$Z$8)+(S315-R315),IF(AND(S315&lt;&gt;"",D315&gt;$Z$4),(S315-R315)-($AB$1-(F315-E315)),IF(AND(S315&lt;&gt;"",D315&lt;$Y$4),(S315-R315)-($AB$1-(F315-E315)+($Z$4-D315)),IF(I315&gt;$Z$8,($AB$1-(F315-E315))+(I315-$Z$8),IF(AND(N315="Sex",(F315-E315)&lt;($AB$1-$W$1)),($AB$1-(F315-E315)),IF(AND(O315&gt;($AB$1-$W$1),D315&gt;$Z$4),"",IF(AND(B315&gt;=$T$1,(F315-E315)&gt;($AB$1-$W$1)),"",IF(AND(D315&gt;=$Y$4,I315=$Z$8,S315=""),($AB$1-(F315-E315)),IF(AND(P315&lt;&gt;"",S315&lt;&gt;""),I315-$Z$8,IF(AND(P315&lt;&gt;"",D315&gt;$Y$4),$AB$1-(F315-E315),"")))))))))))))))))</f>
        <v/>
      </c>
      <c r="M315" s="107" t="str">
        <f>IFERROR(IF(H315="","",IF(B315=VLOOKUP(B315,Feriados[],2,0),(H315-D315)-(G315-E315),"")),"")</f>
        <v/>
      </c>
      <c r="N315" s="38" t="str">
        <f t="shared" si="23"/>
        <v>Sex</v>
      </c>
      <c r="O315" s="112">
        <f t="shared" si="24"/>
        <v>4.166666666666663E-2</v>
      </c>
      <c r="P315" s="113" t="str">
        <f>IF(B315=_xlfn.XLOOKUP(B315,Feriados[FE Oficial],Feriados[FE Talvez],"",0),"",IF(B315&lt;$T$1,"",IF(Q315="Consulta","",IF(Q315="Compensado","",IF(N315="Sáb","",IF(S315&lt;&gt;"",(S315-R315)-(($AB$1-O315)-(D315-$Z$4)),IF(O315&gt;$AB$1,O315-$AB$1,IF(C315&gt;$Z$4,C315-$Z$4,IF(AND(N315="Sex",G315&lt;&gt;"",H315=""),$Z$3-G315,IF(AND(G315&lt;&gt;"",H315=""),$Z$3-G315,IF(AND(N315="Sex",H315&lt;$Y$3),$Z$3-H315,IF(AND(N315&lt;&gt;"Sex",H315&gt;$AA$8),"",IF(AND(N315="Sex",H315&gt;$Z$8),"",IF(AND(N315&lt;&gt;"Sex",I315&gt;$Z$8),$Z$8-H315,IF(AND(N315&lt;&gt;"Sex",H315&lt;$Y$8),$Z$8-H315,"")))))))))))))))</f>
        <v/>
      </c>
      <c r="Q315" s="33"/>
      <c r="R315" s="33"/>
      <c r="S315" s="33"/>
    </row>
    <row r="316" spans="1:19" x14ac:dyDescent="0.25">
      <c r="A316" s="116" t="s">
        <v>204</v>
      </c>
      <c r="B316" s="32">
        <v>43897</v>
      </c>
      <c r="C316" s="39">
        <f t="shared" si="20"/>
        <v>0.33333333333333331</v>
      </c>
      <c r="D316" s="33">
        <v>0.33333333333333331</v>
      </c>
      <c r="E316" s="33">
        <v>0.5</v>
      </c>
      <c r="F316" s="39">
        <f t="shared" si="21"/>
        <v>0.54166666666666663</v>
      </c>
      <c r="G316" s="33">
        <v>0.54166666666666663</v>
      </c>
      <c r="H316" s="33">
        <v>0.70833333333333337</v>
      </c>
      <c r="I316" s="39">
        <f>IFERROR(IF(B316=VLOOKUP(B316,Feriados[],2,0),H316,IF(N316="Sáb",H316,IF(AND(B316&lt;$T$1,H316&lt;=$AA$3),$Z$3,IF(AND(N316="Sex",H316&gt;$AA$3),H316,IF(H316&lt;=$AA$3,$Z$3,IF(H316&lt;=$AA$8,$Z$8,H316)))))),IF(N316="Sáb",H316,IF(AND(B316&lt;$T$1,H316&lt;=$AA$3),$Z$3,IF(AND(N316="Sex",H316&gt;$AA$3),H316,IF(H316&lt;=$AA$3,$Z$3,IF(H316&lt;=$AA$8,$Z$8,H316))))))</f>
        <v>0.70833333333333337</v>
      </c>
      <c r="J316" s="33">
        <f t="shared" si="22"/>
        <v>0.33333333333333343</v>
      </c>
      <c r="K316" s="33">
        <f>IFERROR(IF(H316="","",IF(B316=VLOOKUP(B316,Feriados[],2,0),(H316-D316)-(G316-E316),IF(D316&lt;=$Y$4,(I316-D316)-(G316-E316),(I316-C316)-(F316-E316)))),IF(AND(D316&lt;=$Y$4,F316-E316=$AB$1),(I316-D316)-(F316-E316),IF(D316&lt;$Y$4,(I316-D316)-(G316-E316),(I316-C316)-(F316-E316))))</f>
        <v>0.33333333333333343</v>
      </c>
      <c r="L316" s="40" t="str">
        <f>IF(B316=_xlfn.XLOOKUP(B316,Feriados[FE Oficial],Feriados[FE Talvez],"",0),"",IF(Q316="Compensado","",IF(AND(N316="Sex",D316&lt;$Y$4),($Z$4-D316)+$AB$1-(F316-E316)+(I316-$Z$3),IF(AND(N316="Sex",I316&gt;$Z$3),($AB$1-(F316-E316))+(I316-$Z$3),IF(AND(N316="Sex",E316&lt;&gt;"",D316&lt;$Y$4),($Z$4-D316)+$AB$1-(F316-E316)+(I316-$Z$3),IF(N316="Sáb",(I316-D316)-(G316-E316)-(S316-R316),IF(AND(B316&lt;$T$1,I316&gt;$Z$3),H316-$Z$3,IF(D316&lt;$Y$4,($Z$4-D316)+($AB$1-(F316-E316))+(I316-$Z$8)+(S316-R316),IF(AND(S316&lt;&gt;"",D316&gt;$Z$4),(S316-R316)-($AB$1-(F316-E316)),IF(AND(S316&lt;&gt;"",D316&lt;$Y$4),(S316-R316)-($AB$1-(F316-E316)+($Z$4-D316)),IF(I316&gt;$Z$8,($AB$1-(F316-E316))+(I316-$Z$8),IF(AND(N316="Sex",(F316-E316)&lt;($AB$1-$W$1)),($AB$1-(F316-E316)),IF(AND(O316&gt;($AB$1-$W$1),D316&gt;$Z$4),"",IF(AND(B316&gt;=$T$1,(F316-E316)&gt;($AB$1-$W$1)),"",IF(AND(D316&gt;=$Y$4,I316=$Z$8,S316=""),($AB$1-(F316-E316)),IF(AND(P316&lt;&gt;"",S316&lt;&gt;""),I316-$Z$8,IF(AND(P316&lt;&gt;"",D316&gt;$Y$4),$AB$1-(F316-E316),"")))))))))))))))))</f>
        <v/>
      </c>
      <c r="M316" s="107" t="str">
        <f>IFERROR(IF(H316="","",IF(B316=VLOOKUP(B316,Feriados[],2,0),(H316-D316)-(G316-E316),"")),"")</f>
        <v/>
      </c>
      <c r="N316" s="38" t="str">
        <f t="shared" si="23"/>
        <v>Sex</v>
      </c>
      <c r="O316" s="112">
        <f t="shared" si="24"/>
        <v>4.166666666666663E-2</v>
      </c>
      <c r="P316" s="113" t="str">
        <f>IF(B316=_xlfn.XLOOKUP(B316,Feriados[FE Oficial],Feriados[FE Talvez],"",0),"",IF(B316&lt;$T$1,"",IF(Q316="Consulta","",IF(Q316="Compensado","",IF(N316="Sáb","",IF(S316&lt;&gt;"",(S316-R316)-(($AB$1-O316)-(D316-$Z$4)),IF(O316&gt;$AB$1,O316-$AB$1,IF(C316&gt;$Z$4,C316-$Z$4,IF(AND(N316="Sex",G316&lt;&gt;"",H316=""),$Z$3-G316,IF(AND(G316&lt;&gt;"",H316=""),$Z$3-G316,IF(AND(N316="Sex",H316&lt;$Y$3),$Z$3-H316,IF(AND(N316&lt;&gt;"Sex",H316&gt;$AA$8),"",IF(AND(N316="Sex",H316&gt;$Z$8),"",IF(AND(N316&lt;&gt;"Sex",I316&gt;$Z$8),$Z$8-H316,IF(AND(N316&lt;&gt;"Sex",H316&lt;$Y$8),$Z$8-H316,"")))))))))))))))</f>
        <v/>
      </c>
      <c r="Q316" s="33"/>
      <c r="R316" s="33"/>
      <c r="S316" s="33"/>
    </row>
    <row r="317" spans="1:19" x14ac:dyDescent="0.25">
      <c r="A317" s="116" t="s">
        <v>204</v>
      </c>
      <c r="B317" s="32">
        <v>43898</v>
      </c>
      <c r="C317" s="39">
        <f t="shared" si="20"/>
        <v>0.33333333333333331</v>
      </c>
      <c r="D317" s="33">
        <v>0.33333333333333331</v>
      </c>
      <c r="E317" s="33">
        <v>0.47916666666666669</v>
      </c>
      <c r="F317" s="39">
        <f t="shared" si="21"/>
        <v>0.52083333333333337</v>
      </c>
      <c r="G317" s="33">
        <v>0.52083333333333337</v>
      </c>
      <c r="H317" s="33">
        <v>0.66666666666666663</v>
      </c>
      <c r="I317" s="39">
        <f>IFERROR(IF(B317=VLOOKUP(B317,Feriados[],2,0),H317,IF(N317="Sáb",H317,IF(AND(B317&lt;$T$1,H317&lt;=$AA$3),$Z$3,IF(AND(N317="Sex",H317&gt;$AA$3),H317,IF(H317&lt;=$AA$3,$Z$3,IF(H317&lt;=$AA$8,$Z$8,H317)))))),IF(N317="Sáb",H317,IF(AND(B317&lt;$T$1,H317&lt;=$AA$3),$Z$3,IF(AND(N317="Sex",H317&gt;$AA$3),H317,IF(H317&lt;=$AA$3,$Z$3,IF(H317&lt;=$AA$8,$Z$8,H317))))))</f>
        <v>0.66666666666666663</v>
      </c>
      <c r="J317" s="33">
        <f t="shared" si="22"/>
        <v>0.29166666666666663</v>
      </c>
      <c r="K317" s="33">
        <f>IFERROR(IF(H317="","",IF(B317=VLOOKUP(B317,Feriados[],2,0),(H317-D317)-(G317-E317),IF(D317&lt;=$Y$4,(I317-D317)-(G317-E317),(I317-C317)-(F317-E317)))),IF(AND(D317&lt;=$Y$4,F317-E317=$AB$1),(I317-D317)-(F317-E317),IF(D317&lt;$Y$4,(I317-D317)-(G317-E317),(I317-C317)-(F317-E317))))</f>
        <v>0.29166666666666663</v>
      </c>
      <c r="L317" s="40">
        <f>IF(B317=_xlfn.XLOOKUP(B317,Feriados[FE Oficial],Feriados[FE Talvez],"",0),"",IF(Q317="Compensado","",IF(AND(N317="Sex",D317&lt;$Y$4),($Z$4-D317)+$AB$1-(F317-E317)+(I317-$Z$3),IF(AND(N317="Sex",I317&gt;$Z$3),($AB$1-(F317-E317))+(I317-$Z$3),IF(AND(N317="Sex",E317&lt;&gt;"",D317&lt;$Y$4),($Z$4-D317)+$AB$1-(F317-E317)+(I317-$Z$3),IF(N317="Sáb",(I317-D317)-(G317-E317)-(S317-R317),IF(AND(B317&lt;$T$1,I317&gt;$Z$3),H317-$Z$3,IF(D317&lt;$Y$4,($Z$4-D317)+($AB$1-(F317-E317))+(I317-$Z$8)+(S317-R317),IF(AND(S317&lt;&gt;"",D317&gt;$Z$4),(S317-R317)-($AB$1-(F317-E317)),IF(AND(S317&lt;&gt;"",D317&lt;$Y$4),(S317-R317)-($AB$1-(F317-E317)+($Z$4-D317)),IF(I317&gt;$Z$8,($AB$1-(F317-E317))+(I317-$Z$8),IF(AND(N317="Sex",(F317-E317)&lt;($AB$1-$W$1)),($AB$1-(F317-E317)),IF(AND(O317&gt;($AB$1-$W$1),D317&gt;$Z$4),"",IF(AND(B317&gt;=$T$1,(F317-E317)&gt;($AB$1-$W$1)),"",IF(AND(D317&gt;=$Y$4,I317=$Z$8,S317=""),($AB$1-(F317-E317)),IF(AND(P317&lt;&gt;"",S317&lt;&gt;""),I317-$Z$8,IF(AND(P317&lt;&gt;"",D317&gt;$Y$4),$AB$1-(F317-E317),"")))))))))))))))))</f>
        <v>0.29166666666666663</v>
      </c>
      <c r="M317" s="107" t="str">
        <f>IFERROR(IF(H317="","",IF(B317=VLOOKUP(B317,Feriados[],2,0),(H317-D317)-(G317-E317),"")),"")</f>
        <v/>
      </c>
      <c r="N317" s="38" t="str">
        <f t="shared" si="23"/>
        <v>Sáb</v>
      </c>
      <c r="O317" s="112">
        <f t="shared" si="24"/>
        <v>4.1666666666666685E-2</v>
      </c>
      <c r="P317" s="113" t="str">
        <f>IF(B317=_xlfn.XLOOKUP(B317,Feriados[FE Oficial],Feriados[FE Talvez],"",0),"",IF(B317&lt;$T$1,"",IF(Q317="Consulta","",IF(Q317="Compensado","",IF(N317="Sáb","",IF(S317&lt;&gt;"",(S317-R317)-(($AB$1-O317)-(D317-$Z$4)),IF(O317&gt;$AB$1,O317-$AB$1,IF(C317&gt;$Z$4,C317-$Z$4,IF(AND(N317="Sex",G317&lt;&gt;"",H317=""),$Z$3-G317,IF(AND(G317&lt;&gt;"",H317=""),$Z$3-G317,IF(AND(N317="Sex",H317&lt;$Y$3),$Z$3-H317,IF(AND(N317&lt;&gt;"Sex",H317&gt;$AA$8),"",IF(AND(N317="Sex",H317&gt;$Z$8),"",IF(AND(N317&lt;&gt;"Sex",I317&gt;$Z$8),$Z$8-H317,IF(AND(N317&lt;&gt;"Sex",H317&lt;$Y$8),$Z$8-H317,"")))))))))))))))</f>
        <v/>
      </c>
      <c r="Q317" s="33"/>
      <c r="R317" s="33"/>
      <c r="S317" s="33"/>
    </row>
    <row r="318" spans="1:19" x14ac:dyDescent="0.25">
      <c r="A318" s="116" t="s">
        <v>191</v>
      </c>
      <c r="B318" s="32">
        <v>43900</v>
      </c>
      <c r="C318" s="39">
        <f t="shared" si="20"/>
        <v>0.33333333333333331</v>
      </c>
      <c r="D318" s="33">
        <v>0.33333333333333331</v>
      </c>
      <c r="E318" s="33">
        <v>0.5</v>
      </c>
      <c r="F318" s="39">
        <f t="shared" si="21"/>
        <v>0.54166666666666663</v>
      </c>
      <c r="G318" s="33">
        <v>0.54166666666666663</v>
      </c>
      <c r="H318" s="33">
        <v>0.75</v>
      </c>
      <c r="I318" s="39">
        <f>IFERROR(IF(B318=VLOOKUP(B318,Feriados[],2,0),H318,IF(N318="Sáb",H318,IF(AND(B318&lt;$T$1,H318&lt;=$AA$3),$Z$3,IF(AND(N318="Sex",H318&gt;$AA$3),H318,IF(H318&lt;=$AA$3,$Z$3,IF(H318&lt;=$AA$8,$Z$8,H318)))))),IF(N318="Sáb",H318,IF(AND(B318&lt;$T$1,H318&lt;=$AA$3),$Z$3,IF(AND(N318="Sex",H318&gt;$AA$3),H318,IF(H318&lt;=$AA$3,$Z$3,IF(H318&lt;=$AA$8,$Z$8,H318))))))</f>
        <v>0.75</v>
      </c>
      <c r="J318" s="33">
        <f t="shared" si="22"/>
        <v>0.37500000000000006</v>
      </c>
      <c r="K318" s="33">
        <f>IFERROR(IF(H318="","",IF(B318=VLOOKUP(B318,Feriados[],2,0),(H318-D318)-(G318-E318),IF(D318&lt;=$Y$4,(I318-D318)-(G318-E318),(I318-C318)-(F318-E318)))),IF(AND(D318&lt;=$Y$4,F318-E318=$AB$1),(I318-D318)-(F318-E318),IF(D318&lt;$Y$4,(I318-D318)-(G318-E318),(I318-C318)-(F318-E318))))</f>
        <v>0.37500000000000006</v>
      </c>
      <c r="L318" s="40" t="str">
        <f>IF(B318=_xlfn.XLOOKUP(B318,Feriados[FE Oficial],Feriados[FE Talvez],"",0),"",IF(Q318="Compensado","",IF(AND(N318="Sex",D318&lt;$Y$4),($Z$4-D318)+$AB$1-(F318-E318)+(I318-$Z$3),IF(AND(N318="Sex",I318&gt;$Z$3),($AB$1-(F318-E318))+(I318-$Z$3),IF(AND(N318="Sex",E318&lt;&gt;"",D318&lt;$Y$4),($Z$4-D318)+$AB$1-(F318-E318)+(I318-$Z$3),IF(N318="Sáb",(I318-D318)-(G318-E318)-(S318-R318),IF(AND(B318&lt;$T$1,I318&gt;$Z$3),H318-$Z$3,IF(D318&lt;$Y$4,($Z$4-D318)+($AB$1-(F318-E318))+(I318-$Z$8)+(S318-R318),IF(AND(S318&lt;&gt;"",D318&gt;$Z$4),(S318-R318)-($AB$1-(F318-E318)),IF(AND(S318&lt;&gt;"",D318&lt;$Y$4),(S318-R318)-($AB$1-(F318-E318)+($Z$4-D318)),IF(I318&gt;$Z$8,($AB$1-(F318-E318))+(I318-$Z$8),IF(AND(N318="Sex",(F318-E318)&lt;($AB$1-$W$1)),($AB$1-(F318-E318)),IF(AND(O318&gt;($AB$1-$W$1),D318&gt;$Z$4),"",IF(AND(B318&gt;=$T$1,(F318-E318)&gt;($AB$1-$W$1)),"",IF(AND(D318&gt;=$Y$4,I318=$Z$8,S318=""),($AB$1-(F318-E318)),IF(AND(P318&lt;&gt;"",S318&lt;&gt;""),I318-$Z$8,IF(AND(P318&lt;&gt;"",D318&gt;$Y$4),$AB$1-(F318-E318),"")))))))))))))))))</f>
        <v/>
      </c>
      <c r="M318" s="107" t="str">
        <f>IFERROR(IF(H318="","",IF(B318=VLOOKUP(B318,Feriados[],2,0),(H318-D318)-(G318-E318),"")),"")</f>
        <v/>
      </c>
      <c r="N318" s="38" t="str">
        <f t="shared" si="23"/>
        <v>Seg</v>
      </c>
      <c r="O318" s="112">
        <f t="shared" si="24"/>
        <v>4.166666666666663E-2</v>
      </c>
      <c r="P318" s="113" t="str">
        <f>IF(B318=_xlfn.XLOOKUP(B318,Feriados[FE Oficial],Feriados[FE Talvez],"",0),"",IF(B318&lt;$T$1,"",IF(Q318="Consulta","",IF(Q318="Compensado","",IF(N318="Sáb","",IF(S318&lt;&gt;"",(S318-R318)-(($AB$1-O318)-(D318-$Z$4)),IF(O318&gt;$AB$1,O318-$AB$1,IF(C318&gt;$Z$4,C318-$Z$4,IF(AND(N318="Sex",G318&lt;&gt;"",H318=""),$Z$3-G318,IF(AND(G318&lt;&gt;"",H318=""),$Z$3-G318,IF(AND(N318="Sex",H318&lt;$Y$3),$Z$3-H318,IF(AND(N318&lt;&gt;"Sex",H318&gt;$AA$8),"",IF(AND(N318="Sex",H318&gt;$Z$8),"",IF(AND(N318&lt;&gt;"Sex",I318&gt;$Z$8),$Z$8-H318,IF(AND(N318&lt;&gt;"Sex",H318&lt;$Y$8),$Z$8-H318,"")))))))))))))))</f>
        <v/>
      </c>
      <c r="Q318" s="33"/>
      <c r="R318" s="33"/>
      <c r="S318" s="33"/>
    </row>
    <row r="319" spans="1:19" x14ac:dyDescent="0.25">
      <c r="A319" s="116" t="s">
        <v>204</v>
      </c>
      <c r="B319" s="32">
        <v>43900</v>
      </c>
      <c r="C319" s="39">
        <f t="shared" si="20"/>
        <v>0.33333333333333331</v>
      </c>
      <c r="D319" s="33">
        <v>0.33333333333333331</v>
      </c>
      <c r="E319" s="33">
        <v>0.5</v>
      </c>
      <c r="F319" s="39">
        <f t="shared" si="21"/>
        <v>0.54166666666666663</v>
      </c>
      <c r="G319" s="33">
        <v>0.54166666666666663</v>
      </c>
      <c r="H319" s="33">
        <v>0.75</v>
      </c>
      <c r="I319" s="39">
        <f>IFERROR(IF(B319=VLOOKUP(B319,Feriados[],2,0),H319,IF(N319="Sáb",H319,IF(AND(B319&lt;$T$1,H319&lt;=$AA$3),$Z$3,IF(AND(N319="Sex",H319&gt;$AA$3),H319,IF(H319&lt;=$AA$3,$Z$3,IF(H319&lt;=$AA$8,$Z$8,H319)))))),IF(N319="Sáb",H319,IF(AND(B319&lt;$T$1,H319&lt;=$AA$3),$Z$3,IF(AND(N319="Sex",H319&gt;$AA$3),H319,IF(H319&lt;=$AA$3,$Z$3,IF(H319&lt;=$AA$8,$Z$8,H319))))))</f>
        <v>0.75</v>
      </c>
      <c r="J319" s="33">
        <f t="shared" si="22"/>
        <v>0.37500000000000006</v>
      </c>
      <c r="K319" s="33">
        <f>IFERROR(IF(H319="","",IF(B319=VLOOKUP(B319,Feriados[],2,0),(H319-D319)-(G319-E319),IF(D319&lt;=$Y$4,(I319-D319)-(G319-E319),(I319-C319)-(F319-E319)))),IF(AND(D319&lt;=$Y$4,F319-E319=$AB$1),(I319-D319)-(F319-E319),IF(D319&lt;$Y$4,(I319-D319)-(G319-E319),(I319-C319)-(F319-E319))))</f>
        <v>0.37500000000000006</v>
      </c>
      <c r="L319" s="40" t="str">
        <f>IF(B319=_xlfn.XLOOKUP(B319,Feriados[FE Oficial],Feriados[FE Talvez],"",0),"",IF(Q319="Compensado","",IF(AND(N319="Sex",D319&lt;$Y$4),($Z$4-D319)+$AB$1-(F319-E319)+(I319-$Z$3),IF(AND(N319="Sex",I319&gt;$Z$3),($AB$1-(F319-E319))+(I319-$Z$3),IF(AND(N319="Sex",E319&lt;&gt;"",D319&lt;$Y$4),($Z$4-D319)+$AB$1-(F319-E319)+(I319-$Z$3),IF(N319="Sáb",(I319-D319)-(G319-E319)-(S319-R319),IF(AND(B319&lt;$T$1,I319&gt;$Z$3),H319-$Z$3,IF(D319&lt;$Y$4,($Z$4-D319)+($AB$1-(F319-E319))+(I319-$Z$8)+(S319-R319),IF(AND(S319&lt;&gt;"",D319&gt;$Z$4),(S319-R319)-($AB$1-(F319-E319)),IF(AND(S319&lt;&gt;"",D319&lt;$Y$4),(S319-R319)-($AB$1-(F319-E319)+($Z$4-D319)),IF(I319&gt;$Z$8,($AB$1-(F319-E319))+(I319-$Z$8),IF(AND(N319="Sex",(F319-E319)&lt;($AB$1-$W$1)),($AB$1-(F319-E319)),IF(AND(O319&gt;($AB$1-$W$1),D319&gt;$Z$4),"",IF(AND(B319&gt;=$T$1,(F319-E319)&gt;($AB$1-$W$1)),"",IF(AND(D319&gt;=$Y$4,I319=$Z$8,S319=""),($AB$1-(F319-E319)),IF(AND(P319&lt;&gt;"",S319&lt;&gt;""),I319-$Z$8,IF(AND(P319&lt;&gt;"",D319&gt;$Y$4),$AB$1-(F319-E319),"")))))))))))))))))</f>
        <v/>
      </c>
      <c r="M319" s="107" t="str">
        <f>IFERROR(IF(H319="","",IF(B319=VLOOKUP(B319,Feriados[],2,0),(H319-D319)-(G319-E319),"")),"")</f>
        <v/>
      </c>
      <c r="N319" s="38" t="str">
        <f t="shared" si="23"/>
        <v>Seg</v>
      </c>
      <c r="O319" s="112">
        <f t="shared" si="24"/>
        <v>4.166666666666663E-2</v>
      </c>
      <c r="P319" s="113" t="str">
        <f>IF(B319=_xlfn.XLOOKUP(B319,Feriados[FE Oficial],Feriados[FE Talvez],"",0),"",IF(B319&lt;$T$1,"",IF(Q319="Consulta","",IF(Q319="Compensado","",IF(N319="Sáb","",IF(S319&lt;&gt;"",(S319-R319)-(($AB$1-O319)-(D319-$Z$4)),IF(O319&gt;$AB$1,O319-$AB$1,IF(C319&gt;$Z$4,C319-$Z$4,IF(AND(N319="Sex",G319&lt;&gt;"",H319=""),$Z$3-G319,IF(AND(G319&lt;&gt;"",H319=""),$Z$3-G319,IF(AND(N319="Sex",H319&lt;$Y$3),$Z$3-H319,IF(AND(N319&lt;&gt;"Sex",H319&gt;$AA$8),"",IF(AND(N319="Sex",H319&gt;$Z$8),"",IF(AND(N319&lt;&gt;"Sex",I319&gt;$Z$8),$Z$8-H319,IF(AND(N319&lt;&gt;"Sex",H319&lt;$Y$8),$Z$8-H319,"")))))))))))))))</f>
        <v/>
      </c>
      <c r="Q319" s="33"/>
      <c r="R319" s="33"/>
      <c r="S319" s="33"/>
    </row>
    <row r="320" spans="1:19" x14ac:dyDescent="0.25">
      <c r="A320" s="115" t="s">
        <v>191</v>
      </c>
      <c r="B320" s="32">
        <v>43901</v>
      </c>
      <c r="C320" s="39">
        <f t="shared" si="20"/>
        <v>0.33333333333333331</v>
      </c>
      <c r="D320" s="33">
        <v>0.33333333333333331</v>
      </c>
      <c r="E320" s="33">
        <v>0.5</v>
      </c>
      <c r="F320" s="39">
        <f t="shared" si="21"/>
        <v>0.54166666666666663</v>
      </c>
      <c r="G320" s="33">
        <v>0.54166666666666663</v>
      </c>
      <c r="H320" s="33">
        <v>0.75</v>
      </c>
      <c r="I320" s="39">
        <f>IFERROR(IF(B320=VLOOKUP(B320,Feriados[],2,0),H320,IF(N320="Sáb",H320,IF(AND(B320&lt;$T$1,H320&lt;=$AA$3),$Z$3,IF(AND(N320="Sex",H320&gt;$AA$3),H320,IF(H320&lt;=$AA$3,$Z$3,IF(H320&lt;=$AA$8,$Z$8,H320)))))),IF(N320="Sáb",H320,IF(AND(B320&lt;$T$1,H320&lt;=$AA$3),$Z$3,IF(AND(N320="Sex",H320&gt;$AA$3),H320,IF(H320&lt;=$AA$3,$Z$3,IF(H320&lt;=$AA$8,$Z$8,H320))))))</f>
        <v>0.75</v>
      </c>
      <c r="J320" s="33">
        <f t="shared" si="22"/>
        <v>0.37500000000000006</v>
      </c>
      <c r="K320" s="33">
        <f>IFERROR(IF(H320="","",IF(B320=VLOOKUP(B320,Feriados[],2,0),(H320-D320)-(G320-E320),IF(D320&lt;=$Y$4,(I320-D320)-(G320-E320),(I320-C320)-(F320-E320)))),IF(AND(D320&lt;=$Y$4,F320-E320=$AB$1),(I320-D320)-(F320-E320),IF(D320&lt;$Y$4,(I320-D320)-(G320-E320),(I320-C320)-(F320-E320))))</f>
        <v>0.37500000000000006</v>
      </c>
      <c r="L320" s="40" t="str">
        <f>IF(B320=_xlfn.XLOOKUP(B320,Feriados[FE Oficial],Feriados[FE Talvez],"",0),"",IF(Q320="Compensado","",IF(AND(N320="Sex",D320&lt;$Y$4),($Z$4-D320)+$AB$1-(F320-E320)+(I320-$Z$3),IF(AND(N320="Sex",I320&gt;$Z$3),($AB$1-(F320-E320))+(I320-$Z$3),IF(AND(N320="Sex",E320&lt;&gt;"",D320&lt;$Y$4),($Z$4-D320)+$AB$1-(F320-E320)+(I320-$Z$3),IF(N320="Sáb",(I320-D320)-(G320-E320)-(S320-R320),IF(AND(B320&lt;$T$1,I320&gt;$Z$3),H320-$Z$3,IF(D320&lt;$Y$4,($Z$4-D320)+($AB$1-(F320-E320))+(I320-$Z$8)+(S320-R320),IF(AND(S320&lt;&gt;"",D320&gt;$Z$4),(S320-R320)-($AB$1-(F320-E320)),IF(AND(S320&lt;&gt;"",D320&lt;$Y$4),(S320-R320)-($AB$1-(F320-E320)+($Z$4-D320)),IF(I320&gt;$Z$8,($AB$1-(F320-E320))+(I320-$Z$8),IF(AND(N320="Sex",(F320-E320)&lt;($AB$1-$W$1)),($AB$1-(F320-E320)),IF(AND(O320&gt;($AB$1-$W$1),D320&gt;$Z$4),"",IF(AND(B320&gt;=$T$1,(F320-E320)&gt;($AB$1-$W$1)),"",IF(AND(D320&gt;=$Y$4,I320=$Z$8,S320=""),($AB$1-(F320-E320)),IF(AND(P320&lt;&gt;"",S320&lt;&gt;""),I320-$Z$8,IF(AND(P320&lt;&gt;"",D320&gt;$Y$4),$AB$1-(F320-E320),"")))))))))))))))))</f>
        <v/>
      </c>
      <c r="M320" s="107" t="str">
        <f>IFERROR(IF(H320="","",IF(B320=VLOOKUP(B320,Feriados[],2,0),(H320-D320)-(G320-E320),"")),"")</f>
        <v/>
      </c>
      <c r="N320" s="38" t="str">
        <f t="shared" si="23"/>
        <v>Ter</v>
      </c>
      <c r="O320" s="112">
        <f t="shared" si="24"/>
        <v>4.166666666666663E-2</v>
      </c>
      <c r="P320" s="113" t="str">
        <f>IF(B320=_xlfn.XLOOKUP(B320,Feriados[FE Oficial],Feriados[FE Talvez],"",0),"",IF(B320&lt;$T$1,"",IF(Q320="Consulta","",IF(Q320="Compensado","",IF(N320="Sáb","",IF(S320&lt;&gt;"",(S320-R320)-(($AB$1-O320)-(D320-$Z$4)),IF(O320&gt;$AB$1,O320-$AB$1,IF(C320&gt;$Z$4,C320-$Z$4,IF(AND(N320="Sex",G320&lt;&gt;"",H320=""),$Z$3-G320,IF(AND(G320&lt;&gt;"",H320=""),$Z$3-G320,IF(AND(N320="Sex",H320&lt;$Y$3),$Z$3-H320,IF(AND(N320&lt;&gt;"Sex",H320&gt;$AA$8),"",IF(AND(N320="Sex",H320&gt;$Z$8),"",IF(AND(N320&lt;&gt;"Sex",I320&gt;$Z$8),$Z$8-H320,IF(AND(N320&lt;&gt;"Sex",H320&lt;$Y$8),$Z$8-H320,"")))))))))))))))</f>
        <v/>
      </c>
      <c r="Q320" s="33"/>
      <c r="R320" s="33"/>
      <c r="S320" s="33"/>
    </row>
    <row r="321" spans="1:19" x14ac:dyDescent="0.25">
      <c r="A321" s="116" t="s">
        <v>191</v>
      </c>
      <c r="B321" s="32">
        <v>43902</v>
      </c>
      <c r="C321" s="39">
        <f t="shared" si="20"/>
        <v>0.33333333333333331</v>
      </c>
      <c r="D321" s="33">
        <v>0.33333333333333331</v>
      </c>
      <c r="E321" s="33">
        <v>0.5</v>
      </c>
      <c r="F321" s="39">
        <f t="shared" si="21"/>
        <v>0.54166666666666663</v>
      </c>
      <c r="G321" s="33">
        <v>0.54166666666666663</v>
      </c>
      <c r="H321" s="33">
        <v>0.75</v>
      </c>
      <c r="I321" s="39">
        <f>IFERROR(IF(B321=VLOOKUP(B321,Feriados[],2,0),H321,IF(N321="Sáb",H321,IF(AND(B321&lt;$T$1,H321&lt;=$AA$3),$Z$3,IF(AND(N321="Sex",H321&gt;$AA$3),H321,IF(H321&lt;=$AA$3,$Z$3,IF(H321&lt;=$AA$8,$Z$8,H321)))))),IF(N321="Sáb",H321,IF(AND(B321&lt;$T$1,H321&lt;=$AA$3),$Z$3,IF(AND(N321="Sex",H321&gt;$AA$3),H321,IF(H321&lt;=$AA$3,$Z$3,IF(H321&lt;=$AA$8,$Z$8,H321))))))</f>
        <v>0.75</v>
      </c>
      <c r="J321" s="33">
        <f t="shared" si="22"/>
        <v>0.37500000000000006</v>
      </c>
      <c r="K321" s="33">
        <f>IFERROR(IF(H321="","",IF(B321=VLOOKUP(B321,Feriados[],2,0),(H321-D321)-(G321-E321),IF(D321&lt;=$Y$4,(I321-D321)-(G321-E321),(I321-C321)-(F321-E321)))),IF(AND(D321&lt;=$Y$4,F321-E321=$AB$1),(I321-D321)-(F321-E321),IF(D321&lt;$Y$4,(I321-D321)-(G321-E321),(I321-C321)-(F321-E321))))</f>
        <v>0.37500000000000006</v>
      </c>
      <c r="L321" s="40" t="str">
        <f>IF(B321=_xlfn.XLOOKUP(B321,Feriados[FE Oficial],Feriados[FE Talvez],"",0),"",IF(Q321="Compensado","",IF(AND(N321="Sex",D321&lt;$Y$4),($Z$4-D321)+$AB$1-(F321-E321)+(I321-$Z$3),IF(AND(N321="Sex",I321&gt;$Z$3),($AB$1-(F321-E321))+(I321-$Z$3),IF(AND(N321="Sex",E321&lt;&gt;"",D321&lt;$Y$4),($Z$4-D321)+$AB$1-(F321-E321)+(I321-$Z$3),IF(N321="Sáb",(I321-D321)-(G321-E321)-(S321-R321),IF(AND(B321&lt;$T$1,I321&gt;$Z$3),H321-$Z$3,IF(D321&lt;$Y$4,($Z$4-D321)+($AB$1-(F321-E321))+(I321-$Z$8)+(S321-R321),IF(AND(S321&lt;&gt;"",D321&gt;$Z$4),(S321-R321)-($AB$1-(F321-E321)),IF(AND(S321&lt;&gt;"",D321&lt;$Y$4),(S321-R321)-($AB$1-(F321-E321)+($Z$4-D321)),IF(I321&gt;$Z$8,($AB$1-(F321-E321))+(I321-$Z$8),IF(AND(N321="Sex",(F321-E321)&lt;($AB$1-$W$1)),($AB$1-(F321-E321)),IF(AND(O321&gt;($AB$1-$W$1),D321&gt;$Z$4),"",IF(AND(B321&gt;=$T$1,(F321-E321)&gt;($AB$1-$W$1)),"",IF(AND(D321&gt;=$Y$4,I321=$Z$8,S321=""),($AB$1-(F321-E321)),IF(AND(P321&lt;&gt;"",S321&lt;&gt;""),I321-$Z$8,IF(AND(P321&lt;&gt;"",D321&gt;$Y$4),$AB$1-(F321-E321),"")))))))))))))))))</f>
        <v/>
      </c>
      <c r="M321" s="107" t="str">
        <f>IFERROR(IF(H321="","",IF(B321=VLOOKUP(B321,Feriados[],2,0),(H321-D321)-(G321-E321),"")),"")</f>
        <v/>
      </c>
      <c r="N321" s="38" t="str">
        <f t="shared" si="23"/>
        <v>Qua</v>
      </c>
      <c r="O321" s="112">
        <f t="shared" si="24"/>
        <v>4.166666666666663E-2</v>
      </c>
      <c r="P321" s="113" t="str">
        <f>IF(B321=_xlfn.XLOOKUP(B321,Feriados[FE Oficial],Feriados[FE Talvez],"",0),"",IF(B321&lt;$T$1,"",IF(Q321="Consulta","",IF(Q321="Compensado","",IF(N321="Sáb","",IF(S321&lt;&gt;"",(S321-R321)-(($AB$1-O321)-(D321-$Z$4)),IF(O321&gt;$AB$1,O321-$AB$1,IF(C321&gt;$Z$4,C321-$Z$4,IF(AND(N321="Sex",G321&lt;&gt;"",H321=""),$Z$3-G321,IF(AND(G321&lt;&gt;"",H321=""),$Z$3-G321,IF(AND(N321="Sex",H321&lt;$Y$3),$Z$3-H321,IF(AND(N321&lt;&gt;"Sex",H321&gt;$AA$8),"",IF(AND(N321="Sex",H321&gt;$Z$8),"",IF(AND(N321&lt;&gt;"Sex",I321&gt;$Z$8),$Z$8-H321,IF(AND(N321&lt;&gt;"Sex",H321&lt;$Y$8),$Z$8-H321,"")))))))))))))))</f>
        <v/>
      </c>
      <c r="Q321" s="33"/>
      <c r="R321" s="33"/>
      <c r="S321" s="33"/>
    </row>
    <row r="322" spans="1:19" x14ac:dyDescent="0.25">
      <c r="A322" s="115" t="s">
        <v>204</v>
      </c>
      <c r="B322" s="32">
        <v>43903</v>
      </c>
      <c r="C322" s="39">
        <f t="shared" ref="C322:C337" si="25">IF(D322="","",IF(D322&lt;=$Y$4,$Z$4,IF(D322&lt;=$AA$4,$Z$4,D322)))</f>
        <v>0.33333333333333331</v>
      </c>
      <c r="D322" s="33">
        <v>0.33333333333333331</v>
      </c>
      <c r="E322" s="33">
        <v>0.5</v>
      </c>
      <c r="F322" s="39">
        <f t="shared" ref="F322:F337" si="26">IF(G322-E322&lt;=$X$1,G322,E322+$AB$1)</f>
        <v>0.54166666666666663</v>
      </c>
      <c r="G322" s="33">
        <v>0.54166666666666663</v>
      </c>
      <c r="H322" s="33">
        <v>0.8256944444444444</v>
      </c>
      <c r="I322" s="39">
        <f>IFERROR(IF(B322=VLOOKUP(B322,Feriados[],2,0),H322,IF(N322="Sáb",H322,IF(AND(B322&lt;$T$1,H322&lt;=$AA$3),$Z$3,IF(AND(N322="Sex",H322&gt;$AA$3),H322,IF(H322&lt;=$AA$3,$Z$3,IF(H322&lt;=$AA$8,$Z$8,H322)))))),IF(N322="Sáb",H322,IF(AND(B322&lt;$T$1,H322&lt;=$AA$3),$Z$3,IF(AND(N322="Sex",H322&gt;$AA$3),H322,IF(H322&lt;=$AA$3,$Z$3,IF(H322&lt;=$AA$8,$Z$8,H322))))))</f>
        <v>0.8256944444444444</v>
      </c>
      <c r="J322" s="33">
        <f t="shared" ref="J322:J337" si="27">IF((H322-D322)-(G322-E322)&lt;$AB$1,"",IF(AND(B322&lt;$T$1,(H322-D322)-(G322-E322)&gt;$Y$2),$Y$2,IF(AND(N322="Sex",(H322-D322)-(G322-E322)&gt;$Y$2),$Y$2,IF((H322-D322)-(G322-E322)&gt;$X$2,$X$2,(H322-D322)-(G322-E322)))))</f>
        <v>0.375</v>
      </c>
      <c r="K322" s="33">
        <f>IFERROR(IF(H322="","",IF(B322=VLOOKUP(B322,Feriados[],2,0),(H322-D322)-(G322-E322),IF(D322&lt;=$Y$4,(I322-D322)-(G322-E322),(I322-C322)-(F322-E322)))),IF(AND(D322&lt;=$Y$4,F322-E322=$AB$1),(I322-D322)-(F322-E322),IF(D322&lt;$Y$4,(I322-D322)-(G322-E322),(I322-C322)-(F322-E322))))</f>
        <v>0.45069444444444445</v>
      </c>
      <c r="L322" s="40">
        <f>IF(B322=_xlfn.XLOOKUP(B322,Feriados[FE Oficial],Feriados[FE Talvez],"",0),"",IF(Q322="Compensado","",IF(AND(N322="Sex",D322&lt;$Y$4),($Z$4-D322)+$AB$1-(F322-E322)+(I322-$Z$3),IF(AND(N322="Sex",I322&gt;$Z$3),($AB$1-(F322-E322))+(I322-$Z$3),IF(AND(N322="Sex",E322&lt;&gt;"",D322&lt;$Y$4),($Z$4-D322)+$AB$1-(F322-E322)+(I322-$Z$3),IF(N322="Sáb",(I322-D322)-(G322-E322)-(S322-R322),IF(AND(B322&lt;$T$1,I322&gt;$Z$3),H322-$Z$3,IF(D322&lt;$Y$4,($Z$4-D322)+($AB$1-(F322-E322))+(I322-$Z$8)+(S322-R322),IF(AND(S322&lt;&gt;"",D322&gt;$Z$4),(S322-R322)-($AB$1-(F322-E322)),IF(AND(S322&lt;&gt;"",D322&lt;$Y$4),(S322-R322)-($AB$1-(F322-E322)+($Z$4-D322)),IF(I322&gt;$Z$8,($AB$1-(F322-E322))+(I322-$Z$8),IF(AND(N322="Sex",(F322-E322)&lt;($AB$1-$W$1)),($AB$1-(F322-E322)),IF(AND(O322&gt;($AB$1-$W$1),D322&gt;$Z$4),"",IF(AND(B322&gt;=$T$1,(F322-E322)&gt;($AB$1-$W$1)),"",IF(AND(D322&gt;=$Y$4,I322=$Z$8,S322=""),($AB$1-(F322-E322)),IF(AND(P322&lt;&gt;"",S322&lt;&gt;""),I322-$Z$8,IF(AND(P322&lt;&gt;"",D322&gt;$Y$4),$AB$1-(F322-E322),"")))))))))))))))))</f>
        <v>7.5694444444444425E-2</v>
      </c>
      <c r="M322" s="107" t="str">
        <f>IFERROR(IF(H322="","",IF(B322=VLOOKUP(B322,Feriados[],2,0),(H322-D322)-(G322-E322),"")),"")</f>
        <v/>
      </c>
      <c r="N322" s="38" t="str">
        <f t="shared" ref="N322:N337" si="28">PROPER(TEXT(B322,"DDD"))</f>
        <v>Qui</v>
      </c>
      <c r="O322" s="112">
        <f t="shared" ref="O322:O337" si="29">G322-E322</f>
        <v>4.166666666666663E-2</v>
      </c>
      <c r="P322" s="113" t="str">
        <f>IF(B322=_xlfn.XLOOKUP(B322,Feriados[FE Oficial],Feriados[FE Talvez],"",0),"",IF(B322&lt;$T$1,"",IF(Q322="Consulta","",IF(Q322="Compensado","",IF(N322="Sáb","",IF(S322&lt;&gt;"",(S322-R322)-(($AB$1-O322)-(D322-$Z$4)),IF(O322&gt;$AB$1,O322-$AB$1,IF(C322&gt;$Z$4,C322-$Z$4,IF(AND(N322="Sex",G322&lt;&gt;"",H322=""),$Z$3-G322,IF(AND(G322&lt;&gt;"",H322=""),$Z$3-G322,IF(AND(N322="Sex",H322&lt;$Y$3),$Z$3-H322,IF(AND(N322&lt;&gt;"Sex",H322&gt;$AA$8),"",IF(AND(N322="Sex",H322&gt;$Z$8),"",IF(AND(N322&lt;&gt;"Sex",I322&gt;$Z$8),$Z$8-H322,IF(AND(N322&lt;&gt;"Sex",H322&lt;$Y$8),$Z$8-H322,"")))))))))))))))</f>
        <v/>
      </c>
      <c r="Q322" s="33"/>
      <c r="R322" s="33"/>
      <c r="S322" s="33"/>
    </row>
    <row r="323" spans="1:19" ht="15.75" customHeight="1" x14ac:dyDescent="0.25">
      <c r="A323" s="116" t="s">
        <v>191</v>
      </c>
      <c r="B323" s="32">
        <v>43903</v>
      </c>
      <c r="C323" s="39">
        <f t="shared" si="25"/>
        <v>0.33333333333333331</v>
      </c>
      <c r="D323" s="33">
        <v>0.33333333333333331</v>
      </c>
      <c r="E323" s="33">
        <v>0.5</v>
      </c>
      <c r="F323" s="39">
        <f t="shared" si="26"/>
        <v>0.54166666666666663</v>
      </c>
      <c r="G323" s="33">
        <v>0.54166666666666663</v>
      </c>
      <c r="H323" s="33">
        <v>0.75</v>
      </c>
      <c r="I323" s="39">
        <f>IFERROR(IF(B323=VLOOKUP(B323,Feriados[],2,0),H323,IF(N323="Sáb",H323,IF(AND(B323&lt;$T$1,H323&lt;=$AA$3),$Z$3,IF(AND(N323="Sex",H323&gt;$AA$3),H323,IF(H323&lt;=$AA$3,$Z$3,IF(H323&lt;=$AA$8,$Z$8,H323)))))),IF(N323="Sáb",H323,IF(AND(B323&lt;$T$1,H323&lt;=$AA$3),$Z$3,IF(AND(N323="Sex",H323&gt;$AA$3),H323,IF(H323&lt;=$AA$3,$Z$3,IF(H323&lt;=$AA$8,$Z$8,H323))))))</f>
        <v>0.75</v>
      </c>
      <c r="J323" s="33">
        <f t="shared" si="27"/>
        <v>0.37500000000000006</v>
      </c>
      <c r="K323" s="33">
        <f>IFERROR(IF(H323="","",IF(B323=VLOOKUP(B323,Feriados[],2,0),(H323-D323)-(G323-E323),IF(D323&lt;=$Y$4,(I323-D323)-(G323-E323),(I323-C323)-(F323-E323)))),IF(AND(D323&lt;=$Y$4,F323-E323=$AB$1),(I323-D323)-(F323-E323),IF(D323&lt;$Y$4,(I323-D323)-(G323-E323),(I323-C323)-(F323-E323))))</f>
        <v>0.37500000000000006</v>
      </c>
      <c r="L323" s="40" t="str">
        <f>IF(B323=_xlfn.XLOOKUP(B323,Feriados[FE Oficial],Feriados[FE Talvez],"",0),"",IF(Q323="Compensado","",IF(AND(N323="Sex",D323&lt;$Y$4),($Z$4-D323)+$AB$1-(F323-E323)+(I323-$Z$3),IF(AND(N323="Sex",I323&gt;$Z$3),($AB$1-(F323-E323))+(I323-$Z$3),IF(AND(N323="Sex",E323&lt;&gt;"",D323&lt;$Y$4),($Z$4-D323)+$AB$1-(F323-E323)+(I323-$Z$3),IF(N323="Sáb",(I323-D323)-(G323-E323)-(S323-R323),IF(AND(B323&lt;$T$1,I323&gt;$Z$3),H323-$Z$3,IF(D323&lt;$Y$4,($Z$4-D323)+($AB$1-(F323-E323))+(I323-$Z$8)+(S323-R323),IF(AND(S323&lt;&gt;"",D323&gt;$Z$4),(S323-R323)-($AB$1-(F323-E323)),IF(AND(S323&lt;&gt;"",D323&lt;$Y$4),(S323-R323)-($AB$1-(F323-E323)+($Z$4-D323)),IF(I323&gt;$Z$8,($AB$1-(F323-E323))+(I323-$Z$8),IF(AND(N323="Sex",(F323-E323)&lt;($AB$1-$W$1)),($AB$1-(F323-E323)),IF(AND(O323&gt;($AB$1-$W$1),D323&gt;$Z$4),"",IF(AND(B323&gt;=$T$1,(F323-E323)&gt;($AB$1-$W$1)),"",IF(AND(D323&gt;=$Y$4,I323=$Z$8,S323=""),($AB$1-(F323-E323)),IF(AND(P323&lt;&gt;"",S323&lt;&gt;""),I323-$Z$8,IF(AND(P323&lt;&gt;"",D323&gt;$Y$4),$AB$1-(F323-E323),"")))))))))))))))))</f>
        <v/>
      </c>
      <c r="M323" s="107" t="str">
        <f>IFERROR(IF(H323="","",IF(B323=VLOOKUP(B323,Feriados[],2,0),(H323-D323)-(G323-E323),"")),"")</f>
        <v/>
      </c>
      <c r="N323" s="38" t="str">
        <f t="shared" si="28"/>
        <v>Qui</v>
      </c>
      <c r="O323" s="112">
        <f t="shared" si="29"/>
        <v>4.166666666666663E-2</v>
      </c>
      <c r="P323" s="113" t="str">
        <f>IF(B323=_xlfn.XLOOKUP(B323,Feriados[FE Oficial],Feriados[FE Talvez],"",0),"",IF(B323&lt;$T$1,"",IF(Q323="Consulta","",IF(Q323="Compensado","",IF(N323="Sáb","",IF(S323&lt;&gt;"",(S323-R323)-(($AB$1-O323)-(D323-$Z$4)),IF(O323&gt;$AB$1,O323-$AB$1,IF(C323&gt;$Z$4,C323-$Z$4,IF(AND(N323="Sex",G323&lt;&gt;"",H323=""),$Z$3-G323,IF(AND(G323&lt;&gt;"",H323=""),$Z$3-G323,IF(AND(N323="Sex",H323&lt;$Y$3),$Z$3-H323,IF(AND(N323&lt;&gt;"Sex",H323&gt;$AA$8),"",IF(AND(N323="Sex",H323&gt;$Z$8),"",IF(AND(N323&lt;&gt;"Sex",I323&gt;$Z$8),$Z$8-H323,IF(AND(N323&lt;&gt;"Sex",H323&lt;$Y$8),$Z$8-H323,"")))))))))))))))</f>
        <v/>
      </c>
      <c r="Q323" s="33"/>
      <c r="R323" s="33"/>
      <c r="S323" s="33"/>
    </row>
    <row r="324" spans="1:19" x14ac:dyDescent="0.25">
      <c r="A324" s="115" t="s">
        <v>191</v>
      </c>
      <c r="B324" s="32">
        <v>43904</v>
      </c>
      <c r="C324" s="39">
        <f t="shared" si="25"/>
        <v>0.33333333333333331</v>
      </c>
      <c r="D324" s="33">
        <v>0.33333333333333331</v>
      </c>
      <c r="E324" s="33">
        <v>0.5</v>
      </c>
      <c r="F324" s="39">
        <f t="shared" si="26"/>
        <v>0.54166666666666663</v>
      </c>
      <c r="G324" s="33">
        <v>0.54166666666666663</v>
      </c>
      <c r="H324" s="33">
        <v>0.75</v>
      </c>
      <c r="I324" s="39">
        <f>IFERROR(IF(B324=VLOOKUP(B324,Feriados[],2,0),H324,IF(N324="Sáb",H324,IF(AND(B324&lt;$T$1,H324&lt;=$AA$3),$Z$3,IF(AND(N324="Sex",H324&gt;$AA$3),H324,IF(H324&lt;=$AA$3,$Z$3,IF(H324&lt;=$AA$8,$Z$8,H324)))))),IF(N324="Sáb",H324,IF(AND(B324&lt;$T$1,H324&lt;=$AA$3),$Z$3,IF(AND(N324="Sex",H324&gt;$AA$3),H324,IF(H324&lt;=$AA$3,$Z$3,IF(H324&lt;=$AA$8,$Z$8,H324))))))</f>
        <v>0.75</v>
      </c>
      <c r="J324" s="33">
        <f t="shared" si="27"/>
        <v>0.33333333333333331</v>
      </c>
      <c r="K324" s="33">
        <f>IFERROR(IF(H324="","",IF(B324=VLOOKUP(B324,Feriados[],2,0),(H324-D324)-(G324-E324),IF(D324&lt;=$Y$4,(I324-D324)-(G324-E324),(I324-C324)-(F324-E324)))),IF(AND(D324&lt;=$Y$4,F324-E324=$AB$1),(I324-D324)-(F324-E324),IF(D324&lt;$Y$4,(I324-D324)-(G324-E324),(I324-C324)-(F324-E324))))</f>
        <v>0.37500000000000006</v>
      </c>
      <c r="L324" s="40">
        <f>IF(B324=_xlfn.XLOOKUP(B324,Feriados[FE Oficial],Feriados[FE Talvez],"",0),"",IF(Q324="Compensado","",IF(AND(N324="Sex",D324&lt;$Y$4),($Z$4-D324)+$AB$1-(F324-E324)+(I324-$Z$3),IF(AND(N324="Sex",I324&gt;$Z$3),($AB$1-(F324-E324))+(I324-$Z$3),IF(AND(N324="Sex",E324&lt;&gt;"",D324&lt;$Y$4),($Z$4-D324)+$AB$1-(F324-E324)+(I324-$Z$3),IF(N324="Sáb",(I324-D324)-(G324-E324)-(S324-R324),IF(AND(B324&lt;$T$1,I324&gt;$Z$3),H324-$Z$3,IF(D324&lt;$Y$4,($Z$4-D324)+($AB$1-(F324-E324))+(I324-$Z$8)+(S324-R324),IF(AND(S324&lt;&gt;"",D324&gt;$Z$4),(S324-R324)-($AB$1-(F324-E324)),IF(AND(S324&lt;&gt;"",D324&lt;$Y$4),(S324-R324)-($AB$1-(F324-E324)+($Z$4-D324)),IF(I324&gt;$Z$8,($AB$1-(F324-E324))+(I324-$Z$8),IF(AND(N324="Sex",(F324-E324)&lt;($AB$1-$W$1)),($AB$1-(F324-E324)),IF(AND(O324&gt;($AB$1-$W$1),D324&gt;$Z$4),"",IF(AND(B324&gt;=$T$1,(F324-E324)&gt;($AB$1-$W$1)),"",IF(AND(D324&gt;=$Y$4,I324=$Z$8,S324=""),($AB$1-(F324-E324)),IF(AND(P324&lt;&gt;"",S324&lt;&gt;""),I324-$Z$8,IF(AND(P324&lt;&gt;"",D324&gt;$Y$4),$AB$1-(F324-E324),"")))))))))))))))))</f>
        <v>4.1666666666666664E-2</v>
      </c>
      <c r="M324" s="107" t="str">
        <f>IFERROR(IF(H324="","",IF(B324=VLOOKUP(B324,Feriados[],2,0),(H324-D324)-(G324-E324),"")),"")</f>
        <v/>
      </c>
      <c r="N324" s="38" t="str">
        <f t="shared" si="28"/>
        <v>Sex</v>
      </c>
      <c r="O324" s="112">
        <f t="shared" si="29"/>
        <v>4.166666666666663E-2</v>
      </c>
      <c r="P324" s="113" t="str">
        <f>IF(B324=_xlfn.XLOOKUP(B324,Feriados[FE Oficial],Feriados[FE Talvez],"",0),"",IF(B324&lt;$T$1,"",IF(Q324="Consulta","",IF(Q324="Compensado","",IF(N324="Sáb","",IF(S324&lt;&gt;"",(S324-R324)-(($AB$1-O324)-(D324-$Z$4)),IF(O324&gt;$AB$1,O324-$AB$1,IF(C324&gt;$Z$4,C324-$Z$4,IF(AND(N324="Sex",G324&lt;&gt;"",H324=""),$Z$3-G324,IF(AND(G324&lt;&gt;"",H324=""),$Z$3-G324,IF(AND(N324="Sex",H324&lt;$Y$3),$Z$3-H324,IF(AND(N324&lt;&gt;"Sex",H324&gt;$AA$8),"",IF(AND(N324="Sex",H324&gt;$Z$8),"",IF(AND(N324&lt;&gt;"Sex",I324&gt;$Z$8),$Z$8-H324,IF(AND(N324&lt;&gt;"Sex",H324&lt;$Y$8),$Z$8-H324,"")))))))))))))))</f>
        <v/>
      </c>
      <c r="Q324" s="33"/>
      <c r="R324" s="33"/>
      <c r="S324" s="33"/>
    </row>
    <row r="325" spans="1:19" x14ac:dyDescent="0.25">
      <c r="A325" s="116" t="s">
        <v>204</v>
      </c>
      <c r="B325" s="32">
        <v>43904</v>
      </c>
      <c r="C325" s="39">
        <f t="shared" si="25"/>
        <v>0.33333333333333331</v>
      </c>
      <c r="D325" s="33">
        <v>0.33333333333333331</v>
      </c>
      <c r="E325" s="33">
        <v>0.5</v>
      </c>
      <c r="F325" s="39">
        <f t="shared" si="26"/>
        <v>0.54166666666666663</v>
      </c>
      <c r="G325" s="33">
        <v>0.54166666666666663</v>
      </c>
      <c r="H325" s="33">
        <v>0.75</v>
      </c>
      <c r="I325" s="39">
        <f>IFERROR(IF(B325=VLOOKUP(B325,Feriados[],2,0),H325,IF(N325="Sáb",H325,IF(AND(B325&lt;$T$1,H325&lt;=$AA$3),$Z$3,IF(AND(N325="Sex",H325&gt;$AA$3),H325,IF(H325&lt;=$AA$3,$Z$3,IF(H325&lt;=$AA$8,$Z$8,H325)))))),IF(N325="Sáb",H325,IF(AND(B325&lt;$T$1,H325&lt;=$AA$3),$Z$3,IF(AND(N325="Sex",H325&gt;$AA$3),H325,IF(H325&lt;=$AA$3,$Z$3,IF(H325&lt;=$AA$8,$Z$8,H325))))))</f>
        <v>0.75</v>
      </c>
      <c r="J325" s="33">
        <f t="shared" si="27"/>
        <v>0.33333333333333331</v>
      </c>
      <c r="K325" s="33">
        <f>IFERROR(IF(H325="","",IF(B325=VLOOKUP(B325,Feriados[],2,0),(H325-D325)-(G325-E325),IF(D325&lt;=$Y$4,(I325-D325)-(G325-E325),(I325-C325)-(F325-E325)))),IF(AND(D325&lt;=$Y$4,F325-E325=$AB$1),(I325-D325)-(F325-E325),IF(D325&lt;$Y$4,(I325-D325)-(G325-E325),(I325-C325)-(F325-E325))))</f>
        <v>0.37500000000000006</v>
      </c>
      <c r="L325" s="40">
        <f>IF(B325=_xlfn.XLOOKUP(B325,Feriados[FE Oficial],Feriados[FE Talvez],"",0),"",IF(Q325="Compensado","",IF(AND(N325="Sex",D325&lt;$Y$4),($Z$4-D325)+$AB$1-(F325-E325)+(I325-$Z$3),IF(AND(N325="Sex",I325&gt;$Z$3),($AB$1-(F325-E325))+(I325-$Z$3),IF(AND(N325="Sex",E325&lt;&gt;"",D325&lt;$Y$4),($Z$4-D325)+$AB$1-(F325-E325)+(I325-$Z$3),IF(N325="Sáb",(I325-D325)-(G325-E325)-(S325-R325),IF(AND(B325&lt;$T$1,I325&gt;$Z$3),H325-$Z$3,IF(D325&lt;$Y$4,($Z$4-D325)+($AB$1-(F325-E325))+(I325-$Z$8)+(S325-R325),IF(AND(S325&lt;&gt;"",D325&gt;$Z$4),(S325-R325)-($AB$1-(F325-E325)),IF(AND(S325&lt;&gt;"",D325&lt;$Y$4),(S325-R325)-($AB$1-(F325-E325)+($Z$4-D325)),IF(I325&gt;$Z$8,($AB$1-(F325-E325))+(I325-$Z$8),IF(AND(N325="Sex",(F325-E325)&lt;($AB$1-$W$1)),($AB$1-(F325-E325)),IF(AND(O325&gt;($AB$1-$W$1),D325&gt;$Z$4),"",IF(AND(B325&gt;=$T$1,(F325-E325)&gt;($AB$1-$W$1)),"",IF(AND(D325&gt;=$Y$4,I325=$Z$8,S325=""),($AB$1-(F325-E325)),IF(AND(P325&lt;&gt;"",S325&lt;&gt;""),I325-$Z$8,IF(AND(P325&lt;&gt;"",D325&gt;$Y$4),$AB$1-(F325-E325),"")))))))))))))))))</f>
        <v>4.1666666666666664E-2</v>
      </c>
      <c r="M325" s="107" t="str">
        <f>IFERROR(IF(H325="","",IF(B325=VLOOKUP(B325,Feriados[],2,0),(H325-D325)-(G325-E325),"")),"")</f>
        <v/>
      </c>
      <c r="N325" s="38" t="str">
        <f t="shared" si="28"/>
        <v>Sex</v>
      </c>
      <c r="O325" s="112">
        <f t="shared" si="29"/>
        <v>4.166666666666663E-2</v>
      </c>
      <c r="P325" s="113" t="str">
        <f>IF(B325=_xlfn.XLOOKUP(B325,Feriados[FE Oficial],Feriados[FE Talvez],"",0),"",IF(B325&lt;$T$1,"",IF(Q325="Consulta","",IF(Q325="Compensado","",IF(N325="Sáb","",IF(S325&lt;&gt;"",(S325-R325)-(($AB$1-O325)-(D325-$Z$4)),IF(O325&gt;$AB$1,O325-$AB$1,IF(C325&gt;$Z$4,C325-$Z$4,IF(AND(N325="Sex",G325&lt;&gt;"",H325=""),$Z$3-G325,IF(AND(G325&lt;&gt;"",H325=""),$Z$3-G325,IF(AND(N325="Sex",H325&lt;$Y$3),$Z$3-H325,IF(AND(N325&lt;&gt;"Sex",H325&gt;$AA$8),"",IF(AND(N325="Sex",H325&gt;$Z$8),"",IF(AND(N325&lt;&gt;"Sex",I325&gt;$Z$8),$Z$8-H325,IF(AND(N325&lt;&gt;"Sex",H325&lt;$Y$8),$Z$8-H325,"")))))))))))))))</f>
        <v/>
      </c>
      <c r="Q325" s="33"/>
      <c r="R325" s="33"/>
      <c r="S325" s="33"/>
    </row>
    <row r="326" spans="1:19" x14ac:dyDescent="0.25">
      <c r="A326" s="115" t="s">
        <v>191</v>
      </c>
      <c r="B326" s="32">
        <v>43907</v>
      </c>
      <c r="C326" s="39">
        <f t="shared" si="25"/>
        <v>0.33333333333333331</v>
      </c>
      <c r="D326" s="33">
        <v>0.33333333333333331</v>
      </c>
      <c r="E326" s="33">
        <v>0.5</v>
      </c>
      <c r="F326" s="39">
        <f t="shared" si="26"/>
        <v>0.54166666666666663</v>
      </c>
      <c r="G326" s="33">
        <v>0.54166666666666663</v>
      </c>
      <c r="H326" s="33">
        <v>0.75</v>
      </c>
      <c r="I326" s="39">
        <f>IFERROR(IF(B326=VLOOKUP(B326,Feriados[],2,0),H326,IF(N326="Sáb",H326,IF(AND(B326&lt;$T$1,H326&lt;=$AA$3),$Z$3,IF(AND(N326="Sex",H326&gt;$AA$3),H326,IF(H326&lt;=$AA$3,$Z$3,IF(H326&lt;=$AA$8,$Z$8,H326)))))),IF(N326="Sáb",H326,IF(AND(B326&lt;$T$1,H326&lt;=$AA$3),$Z$3,IF(AND(N326="Sex",H326&gt;$AA$3),H326,IF(H326&lt;=$AA$3,$Z$3,IF(H326&lt;=$AA$8,$Z$8,H326))))))</f>
        <v>0.75</v>
      </c>
      <c r="J326" s="33">
        <f t="shared" si="27"/>
        <v>0.37500000000000006</v>
      </c>
      <c r="K326" s="33">
        <f>IFERROR(IF(H326="","",IF(B326=VLOOKUP(B326,Feriados[],2,0),(H326-D326)-(G326-E326),IF(D326&lt;=$Y$4,(I326-D326)-(G326-E326),(I326-C326)-(F326-E326)))),IF(AND(D326&lt;=$Y$4,F326-E326=$AB$1),(I326-D326)-(F326-E326),IF(D326&lt;$Y$4,(I326-D326)-(G326-E326),(I326-C326)-(F326-E326))))</f>
        <v>0.37500000000000006</v>
      </c>
      <c r="L326" s="40" t="str">
        <f>IF(B326=_xlfn.XLOOKUP(B326,Feriados[FE Oficial],Feriados[FE Talvez],"",0),"",IF(Q326="Compensado","",IF(AND(N326="Sex",D326&lt;$Y$4),($Z$4-D326)+$AB$1-(F326-E326)+(I326-$Z$3),IF(AND(N326="Sex",I326&gt;$Z$3),($AB$1-(F326-E326))+(I326-$Z$3),IF(AND(N326="Sex",E326&lt;&gt;"",D326&lt;$Y$4),($Z$4-D326)+$AB$1-(F326-E326)+(I326-$Z$3),IF(N326="Sáb",(I326-D326)-(G326-E326)-(S326-R326),IF(AND(B326&lt;$T$1,I326&gt;$Z$3),H326-$Z$3,IF(D326&lt;$Y$4,($Z$4-D326)+($AB$1-(F326-E326))+(I326-$Z$8)+(S326-R326),IF(AND(S326&lt;&gt;"",D326&gt;$Z$4),(S326-R326)-($AB$1-(F326-E326)),IF(AND(S326&lt;&gt;"",D326&lt;$Y$4),(S326-R326)-($AB$1-(F326-E326)+($Z$4-D326)),IF(I326&gt;$Z$8,($AB$1-(F326-E326))+(I326-$Z$8),IF(AND(N326="Sex",(F326-E326)&lt;($AB$1-$W$1)),($AB$1-(F326-E326)),IF(AND(O326&gt;($AB$1-$W$1),D326&gt;$Z$4),"",IF(AND(B326&gt;=$T$1,(F326-E326)&gt;($AB$1-$W$1)),"",IF(AND(D326&gt;=$Y$4,I326=$Z$8,S326=""),($AB$1-(F326-E326)),IF(AND(P326&lt;&gt;"",S326&lt;&gt;""),I326-$Z$8,IF(AND(P326&lt;&gt;"",D326&gt;$Y$4),$AB$1-(F326-E326),"")))))))))))))))))</f>
        <v/>
      </c>
      <c r="M326" s="107" t="str">
        <f>IFERROR(IF(H326="","",IF(B326=VLOOKUP(B326,Feriados[],2,0),(H326-D326)-(G326-E326),"")),"")</f>
        <v/>
      </c>
      <c r="N326" s="38" t="str">
        <f t="shared" si="28"/>
        <v>Seg</v>
      </c>
      <c r="O326" s="112">
        <f t="shared" si="29"/>
        <v>4.166666666666663E-2</v>
      </c>
      <c r="P326" s="113" t="str">
        <f>IF(B326=_xlfn.XLOOKUP(B326,Feriados[FE Oficial],Feriados[FE Talvez],"",0),"",IF(B326&lt;$T$1,"",IF(Q326="Consulta","",IF(Q326="Compensado","",IF(N326="Sáb","",IF(S326&lt;&gt;"",(S326-R326)-(($AB$1-O326)-(D326-$Z$4)),IF(O326&gt;$AB$1,O326-$AB$1,IF(C326&gt;$Z$4,C326-$Z$4,IF(AND(N326="Sex",G326&lt;&gt;"",H326=""),$Z$3-G326,IF(AND(G326&lt;&gt;"",H326=""),$Z$3-G326,IF(AND(N326="Sex",H326&lt;$Y$3),$Z$3-H326,IF(AND(N326&lt;&gt;"Sex",H326&gt;$AA$8),"",IF(AND(N326="Sex",H326&gt;$Z$8),"",IF(AND(N326&lt;&gt;"Sex",I326&gt;$Z$8),$Z$8-H326,IF(AND(N326&lt;&gt;"Sex",H326&lt;$Y$8),$Z$8-H326,"")))))))))))))))</f>
        <v/>
      </c>
      <c r="Q326" s="33"/>
      <c r="R326" s="33"/>
      <c r="S326" s="33"/>
    </row>
    <row r="327" spans="1:19" x14ac:dyDescent="0.25">
      <c r="A327" s="116" t="s">
        <v>204</v>
      </c>
      <c r="B327" s="32">
        <v>43907</v>
      </c>
      <c r="C327" s="39">
        <f t="shared" si="25"/>
        <v>0.33333333333333331</v>
      </c>
      <c r="D327" s="33">
        <v>0.33333333333333331</v>
      </c>
      <c r="E327" s="33">
        <v>0.5</v>
      </c>
      <c r="F327" s="39">
        <f t="shared" si="26"/>
        <v>0.54166666666666663</v>
      </c>
      <c r="G327" s="33">
        <v>0.54166666666666663</v>
      </c>
      <c r="H327" s="33">
        <v>0.75</v>
      </c>
      <c r="I327" s="39">
        <f>IFERROR(IF(B327=VLOOKUP(B327,Feriados[],2,0),H327,IF(N327="Sáb",H327,IF(AND(B327&lt;$T$1,H327&lt;=$AA$3),$Z$3,IF(AND(N327="Sex",H327&gt;$AA$3),H327,IF(H327&lt;=$AA$3,$Z$3,IF(H327&lt;=$AA$8,$Z$8,H327)))))),IF(N327="Sáb",H327,IF(AND(B327&lt;$T$1,H327&lt;=$AA$3),$Z$3,IF(AND(N327="Sex",H327&gt;$AA$3),H327,IF(H327&lt;=$AA$3,$Z$3,IF(H327&lt;=$AA$8,$Z$8,H327))))))</f>
        <v>0.75</v>
      </c>
      <c r="J327" s="33">
        <f t="shared" si="27"/>
        <v>0.37500000000000006</v>
      </c>
      <c r="K327" s="33">
        <f>IFERROR(IF(H327="","",IF(B327=VLOOKUP(B327,Feriados[],2,0),(H327-D327)-(G327-E327),IF(D327&lt;=$Y$4,(I327-D327)-(G327-E327),(I327-C327)-(F327-E327)))),IF(AND(D327&lt;=$Y$4,F327-E327=$AB$1),(I327-D327)-(F327-E327),IF(D327&lt;$Y$4,(I327-D327)-(G327-E327),(I327-C327)-(F327-E327))))</f>
        <v>0.37500000000000006</v>
      </c>
      <c r="L327" s="40" t="str">
        <f>IF(B327=_xlfn.XLOOKUP(B327,Feriados[FE Oficial],Feriados[FE Talvez],"",0),"",IF(Q327="Compensado","",IF(AND(N327="Sex",D327&lt;$Y$4),($Z$4-D327)+$AB$1-(F327-E327)+(I327-$Z$3),IF(AND(N327="Sex",I327&gt;$Z$3),($AB$1-(F327-E327))+(I327-$Z$3),IF(AND(N327="Sex",E327&lt;&gt;"",D327&lt;$Y$4),($Z$4-D327)+$AB$1-(F327-E327)+(I327-$Z$3),IF(N327="Sáb",(I327-D327)-(G327-E327)-(S327-R327),IF(AND(B327&lt;$T$1,I327&gt;$Z$3),H327-$Z$3,IF(D327&lt;$Y$4,($Z$4-D327)+($AB$1-(F327-E327))+(I327-$Z$8)+(S327-R327),IF(AND(S327&lt;&gt;"",D327&gt;$Z$4),(S327-R327)-($AB$1-(F327-E327)),IF(AND(S327&lt;&gt;"",D327&lt;$Y$4),(S327-R327)-($AB$1-(F327-E327)+($Z$4-D327)),IF(I327&gt;$Z$8,($AB$1-(F327-E327))+(I327-$Z$8),IF(AND(N327="Sex",(F327-E327)&lt;($AB$1-$W$1)),($AB$1-(F327-E327)),IF(AND(O327&gt;($AB$1-$W$1),D327&gt;$Z$4),"",IF(AND(B327&gt;=$T$1,(F327-E327)&gt;($AB$1-$W$1)),"",IF(AND(D327&gt;=$Y$4,I327=$Z$8,S327=""),($AB$1-(F327-E327)),IF(AND(P327&lt;&gt;"",S327&lt;&gt;""),I327-$Z$8,IF(AND(P327&lt;&gt;"",D327&gt;$Y$4),$AB$1-(F327-E327),"")))))))))))))))))</f>
        <v/>
      </c>
      <c r="M327" s="107" t="str">
        <f>IFERROR(IF(H327="","",IF(B327=VLOOKUP(B327,Feriados[],2,0),(H327-D327)-(G327-E327),"")),"")</f>
        <v/>
      </c>
      <c r="N327" s="38" t="str">
        <f t="shared" si="28"/>
        <v>Seg</v>
      </c>
      <c r="O327" s="112">
        <f t="shared" si="29"/>
        <v>4.166666666666663E-2</v>
      </c>
      <c r="P327" s="113" t="str">
        <f>IF(B327=_xlfn.XLOOKUP(B327,Feriados[FE Oficial],Feriados[FE Talvez],"",0),"",IF(B327&lt;$T$1,"",IF(Q327="Consulta","",IF(Q327="Compensado","",IF(N327="Sáb","",IF(S327&lt;&gt;"",(S327-R327)-(($AB$1-O327)-(D327-$Z$4)),IF(O327&gt;$AB$1,O327-$AB$1,IF(C327&gt;$Z$4,C327-$Z$4,IF(AND(N327="Sex",G327&lt;&gt;"",H327=""),$Z$3-G327,IF(AND(G327&lt;&gt;"",H327=""),$Z$3-G327,IF(AND(N327="Sex",H327&lt;$Y$3),$Z$3-H327,IF(AND(N327&lt;&gt;"Sex",H327&gt;$AA$8),"",IF(AND(N327="Sex",H327&gt;$Z$8),"",IF(AND(N327&lt;&gt;"Sex",I327&gt;$Z$8),$Z$8-H327,IF(AND(N327&lt;&gt;"Sex",H327&lt;$Y$8),$Z$8-H327,"")))))))))))))))</f>
        <v/>
      </c>
      <c r="Q327" s="33"/>
      <c r="R327" s="33"/>
      <c r="S327" s="33"/>
    </row>
    <row r="328" spans="1:19" x14ac:dyDescent="0.25">
      <c r="A328" s="115" t="s">
        <v>206</v>
      </c>
      <c r="B328" s="32">
        <v>43907</v>
      </c>
      <c r="C328" s="39">
        <f t="shared" si="25"/>
        <v>0.33333333333333331</v>
      </c>
      <c r="D328" s="33">
        <v>0.33333333333333331</v>
      </c>
      <c r="E328" s="33">
        <v>0.5</v>
      </c>
      <c r="F328" s="39">
        <f t="shared" si="26"/>
        <v>0.54166666666666663</v>
      </c>
      <c r="G328" s="33">
        <v>0.54166666666666663</v>
      </c>
      <c r="H328" s="33">
        <v>0.75</v>
      </c>
      <c r="I328" s="39">
        <f>IFERROR(IF(B328=VLOOKUP(B328,Feriados[],2,0),H328,IF(N328="Sáb",H328,IF(AND(B328&lt;$T$1,H328&lt;=$AA$3),$Z$3,IF(AND(N328="Sex",H328&gt;$AA$3),H328,IF(H328&lt;=$AA$3,$Z$3,IF(H328&lt;=$AA$8,$Z$8,H328)))))),IF(N328="Sáb",H328,IF(AND(B328&lt;$T$1,H328&lt;=$AA$3),$Z$3,IF(AND(N328="Sex",H328&gt;$AA$3),H328,IF(H328&lt;=$AA$3,$Z$3,IF(H328&lt;=$AA$8,$Z$8,H328))))))</f>
        <v>0.75</v>
      </c>
      <c r="J328" s="33">
        <f t="shared" si="27"/>
        <v>0.37500000000000006</v>
      </c>
      <c r="K328" s="33">
        <f>IFERROR(IF(H328="","",IF(B328=VLOOKUP(B328,Feriados[],2,0),(H328-D328)-(G328-E328),IF(D328&lt;=$Y$4,(I328-D328)-(G328-E328),(I328-C328)-(F328-E328)))),IF(AND(D328&lt;=$Y$4,F328-E328=$AB$1),(I328-D328)-(F328-E328),IF(D328&lt;$Y$4,(I328-D328)-(G328-E328),(I328-C328)-(F328-E328))))</f>
        <v>0.37500000000000006</v>
      </c>
      <c r="L328" s="40" t="str">
        <f>IF(B328=_xlfn.XLOOKUP(B328,Feriados[FE Oficial],Feriados[FE Talvez],"",0),"",IF(Q328="Compensado","",IF(AND(N328="Sex",D328&lt;$Y$4),($Z$4-D328)+$AB$1-(F328-E328)+(I328-$Z$3),IF(AND(N328="Sex",I328&gt;$Z$3),($AB$1-(F328-E328))+(I328-$Z$3),IF(AND(N328="Sex",E328&lt;&gt;"",D328&lt;$Y$4),($Z$4-D328)+$AB$1-(F328-E328)+(I328-$Z$3),IF(N328="Sáb",(I328-D328)-(G328-E328)-(S328-R328),IF(AND(B328&lt;$T$1,I328&gt;$Z$3),H328-$Z$3,IF(D328&lt;$Y$4,($Z$4-D328)+($AB$1-(F328-E328))+(I328-$Z$8)+(S328-R328),IF(AND(S328&lt;&gt;"",D328&gt;$Z$4),(S328-R328)-($AB$1-(F328-E328)),IF(AND(S328&lt;&gt;"",D328&lt;$Y$4),(S328-R328)-($AB$1-(F328-E328)+($Z$4-D328)),IF(I328&gt;$Z$8,($AB$1-(F328-E328))+(I328-$Z$8),IF(AND(N328="Sex",(F328-E328)&lt;($AB$1-$W$1)),($AB$1-(F328-E328)),IF(AND(O328&gt;($AB$1-$W$1),D328&gt;$Z$4),"",IF(AND(B328&gt;=$T$1,(F328-E328)&gt;($AB$1-$W$1)),"",IF(AND(D328&gt;=$Y$4,I328=$Z$8,S328=""),($AB$1-(F328-E328)),IF(AND(P328&lt;&gt;"",S328&lt;&gt;""),I328-$Z$8,IF(AND(P328&lt;&gt;"",D328&gt;$Y$4),$AB$1-(F328-E328),"")))))))))))))))))</f>
        <v/>
      </c>
      <c r="M328" s="107" t="str">
        <f>IFERROR(IF(H328="","",IF(B328=VLOOKUP(B328,Feriados[],2,0),(H328-D328)-(G328-E328),"")),"")</f>
        <v/>
      </c>
      <c r="N328" s="38" t="str">
        <f t="shared" si="28"/>
        <v>Seg</v>
      </c>
      <c r="O328" s="112">
        <f t="shared" si="29"/>
        <v>4.166666666666663E-2</v>
      </c>
      <c r="P328" s="113" t="str">
        <f>IF(B328=_xlfn.XLOOKUP(B328,Feriados[FE Oficial],Feriados[FE Talvez],"",0),"",IF(B328&lt;$T$1,"",IF(Q328="Consulta","",IF(Q328="Compensado","",IF(N328="Sáb","",IF(S328&lt;&gt;"",(S328-R328)-(($AB$1-O328)-(D328-$Z$4)),IF(O328&gt;$AB$1,O328-$AB$1,IF(C328&gt;$Z$4,C328-$Z$4,IF(AND(N328="Sex",G328&lt;&gt;"",H328=""),$Z$3-G328,IF(AND(G328&lt;&gt;"",H328=""),$Z$3-G328,IF(AND(N328="Sex",H328&lt;$Y$3),$Z$3-H328,IF(AND(N328&lt;&gt;"Sex",H328&gt;$AA$8),"",IF(AND(N328="Sex",H328&gt;$Z$8),"",IF(AND(N328&lt;&gt;"Sex",I328&gt;$Z$8),$Z$8-H328,IF(AND(N328&lt;&gt;"Sex",H328&lt;$Y$8),$Z$8-H328,"")))))))))))))))</f>
        <v/>
      </c>
      <c r="Q328" s="33"/>
      <c r="R328" s="33"/>
      <c r="S328" s="33"/>
    </row>
    <row r="329" spans="1:19" x14ac:dyDescent="0.25">
      <c r="A329" s="116" t="s">
        <v>191</v>
      </c>
      <c r="B329" s="32">
        <v>43908</v>
      </c>
      <c r="C329" s="39">
        <f t="shared" si="25"/>
        <v>0.33333333333333331</v>
      </c>
      <c r="D329" s="33">
        <v>0.33333333333333331</v>
      </c>
      <c r="E329" s="33">
        <v>0.5</v>
      </c>
      <c r="F329" s="39">
        <f t="shared" si="26"/>
        <v>0.54166666666666663</v>
      </c>
      <c r="G329" s="33">
        <v>0.54166666666666663</v>
      </c>
      <c r="H329" s="33">
        <v>0.75</v>
      </c>
      <c r="I329" s="39">
        <f>IFERROR(IF(B329=VLOOKUP(B329,Feriados[],2,0),H329,IF(N329="Sáb",H329,IF(AND(B329&lt;$T$1,H329&lt;=$AA$3),$Z$3,IF(AND(N329="Sex",H329&gt;$AA$3),H329,IF(H329&lt;=$AA$3,$Z$3,IF(H329&lt;=$AA$8,$Z$8,H329)))))),IF(N329="Sáb",H329,IF(AND(B329&lt;$T$1,H329&lt;=$AA$3),$Z$3,IF(AND(N329="Sex",H329&gt;$AA$3),H329,IF(H329&lt;=$AA$3,$Z$3,IF(H329&lt;=$AA$8,$Z$8,H329))))))</f>
        <v>0.75</v>
      </c>
      <c r="J329" s="33">
        <f t="shared" si="27"/>
        <v>0.37500000000000006</v>
      </c>
      <c r="K329" s="33">
        <f>IFERROR(IF(H329="","",IF(B329=VLOOKUP(B329,Feriados[],2,0),(H329-D329)-(G329-E329),IF(D329&lt;=$Y$4,(I329-D329)-(G329-E329),(I329-C329)-(F329-E329)))),IF(AND(D329&lt;=$Y$4,F329-E329=$AB$1),(I329-D329)-(F329-E329),IF(D329&lt;$Y$4,(I329-D329)-(G329-E329),(I329-C329)-(F329-E329))))</f>
        <v>0.37500000000000006</v>
      </c>
      <c r="L329" s="40" t="str">
        <f>IF(B329=_xlfn.XLOOKUP(B329,Feriados[FE Oficial],Feriados[FE Talvez],"",0),"",IF(Q329="Compensado","",IF(AND(N329="Sex",D329&lt;$Y$4),($Z$4-D329)+$AB$1-(F329-E329)+(I329-$Z$3),IF(AND(N329="Sex",I329&gt;$Z$3),($AB$1-(F329-E329))+(I329-$Z$3),IF(AND(N329="Sex",E329&lt;&gt;"",D329&lt;$Y$4),($Z$4-D329)+$AB$1-(F329-E329)+(I329-$Z$3),IF(N329="Sáb",(I329-D329)-(G329-E329)-(S329-R329),IF(AND(B329&lt;$T$1,I329&gt;$Z$3),H329-$Z$3,IF(D329&lt;$Y$4,($Z$4-D329)+($AB$1-(F329-E329))+(I329-$Z$8)+(S329-R329),IF(AND(S329&lt;&gt;"",D329&gt;$Z$4),(S329-R329)-($AB$1-(F329-E329)),IF(AND(S329&lt;&gt;"",D329&lt;$Y$4),(S329-R329)-($AB$1-(F329-E329)+($Z$4-D329)),IF(I329&gt;$Z$8,($AB$1-(F329-E329))+(I329-$Z$8),IF(AND(N329="Sex",(F329-E329)&lt;($AB$1-$W$1)),($AB$1-(F329-E329)),IF(AND(O329&gt;($AB$1-$W$1),D329&gt;$Z$4),"",IF(AND(B329&gt;=$T$1,(F329-E329)&gt;($AB$1-$W$1)),"",IF(AND(D329&gt;=$Y$4,I329=$Z$8,S329=""),($AB$1-(F329-E329)),IF(AND(P329&lt;&gt;"",S329&lt;&gt;""),I329-$Z$8,IF(AND(P329&lt;&gt;"",D329&gt;$Y$4),$AB$1-(F329-E329),"")))))))))))))))))</f>
        <v/>
      </c>
      <c r="M329" s="107" t="str">
        <f>IFERROR(IF(H329="","",IF(B329=VLOOKUP(B329,Feriados[],2,0),(H329-D329)-(G329-E329),"")),"")</f>
        <v/>
      </c>
      <c r="N329" s="38" t="str">
        <f t="shared" si="28"/>
        <v>Ter</v>
      </c>
      <c r="O329" s="112">
        <f t="shared" si="29"/>
        <v>4.166666666666663E-2</v>
      </c>
      <c r="P329" s="113" t="str">
        <f>IF(B329=_xlfn.XLOOKUP(B329,Feriados[FE Oficial],Feriados[FE Talvez],"",0),"",IF(B329&lt;$T$1,"",IF(Q329="Consulta","",IF(Q329="Compensado","",IF(N329="Sáb","",IF(S329&lt;&gt;"",(S329-R329)-(($AB$1-O329)-(D329-$Z$4)),IF(O329&gt;$AB$1,O329-$AB$1,IF(C329&gt;$Z$4,C329-$Z$4,IF(AND(N329="Sex",G329&lt;&gt;"",H329=""),$Z$3-G329,IF(AND(G329&lt;&gt;"",H329=""),$Z$3-G329,IF(AND(N329="Sex",H329&lt;$Y$3),$Z$3-H329,IF(AND(N329&lt;&gt;"Sex",H329&gt;$AA$8),"",IF(AND(N329="Sex",H329&gt;$Z$8),"",IF(AND(N329&lt;&gt;"Sex",I329&gt;$Z$8),$Z$8-H329,IF(AND(N329&lt;&gt;"Sex",H329&lt;$Y$8),$Z$8-H329,"")))))))))))))))</f>
        <v/>
      </c>
      <c r="Q329" s="33"/>
      <c r="R329" s="33"/>
      <c r="S329" s="33"/>
    </row>
    <row r="330" spans="1:19" x14ac:dyDescent="0.25">
      <c r="A330" s="115" t="s">
        <v>204</v>
      </c>
      <c r="B330" s="32">
        <v>43908</v>
      </c>
      <c r="C330" s="39">
        <f t="shared" si="25"/>
        <v>0.33333333333333331</v>
      </c>
      <c r="D330" s="33">
        <v>0.33333333333333331</v>
      </c>
      <c r="E330" s="33">
        <v>0.5</v>
      </c>
      <c r="F330" s="39">
        <f t="shared" si="26"/>
        <v>0.54166666666666663</v>
      </c>
      <c r="G330" s="33">
        <v>0.54166666666666663</v>
      </c>
      <c r="H330" s="33">
        <v>0.75</v>
      </c>
      <c r="I330" s="39">
        <f>IFERROR(IF(B330=VLOOKUP(B330,Feriados[],2,0),H330,IF(N330="Sáb",H330,IF(AND(B330&lt;$T$1,H330&lt;=$AA$3),$Z$3,IF(AND(N330="Sex",H330&gt;$AA$3),H330,IF(H330&lt;=$AA$3,$Z$3,IF(H330&lt;=$AA$8,$Z$8,H330)))))),IF(N330="Sáb",H330,IF(AND(B330&lt;$T$1,H330&lt;=$AA$3),$Z$3,IF(AND(N330="Sex",H330&gt;$AA$3),H330,IF(H330&lt;=$AA$3,$Z$3,IF(H330&lt;=$AA$8,$Z$8,H330))))))</f>
        <v>0.75</v>
      </c>
      <c r="J330" s="33">
        <f t="shared" si="27"/>
        <v>0.37500000000000006</v>
      </c>
      <c r="K330" s="33">
        <f>IFERROR(IF(H330="","",IF(B330=VLOOKUP(B330,Feriados[],2,0),(H330-D330)-(G330-E330),IF(D330&lt;=$Y$4,(I330-D330)-(G330-E330),(I330-C330)-(F330-E330)))),IF(AND(D330&lt;=$Y$4,F330-E330=$AB$1),(I330-D330)-(F330-E330),IF(D330&lt;$Y$4,(I330-D330)-(G330-E330),(I330-C330)-(F330-E330))))</f>
        <v>0.37500000000000006</v>
      </c>
      <c r="L330" s="40" t="str">
        <f>IF(B330=_xlfn.XLOOKUP(B330,Feriados[FE Oficial],Feriados[FE Talvez],"",0),"",IF(Q330="Compensado","",IF(AND(N330="Sex",D330&lt;$Y$4),($Z$4-D330)+$AB$1-(F330-E330)+(I330-$Z$3),IF(AND(N330="Sex",I330&gt;$Z$3),($AB$1-(F330-E330))+(I330-$Z$3),IF(AND(N330="Sex",E330&lt;&gt;"",D330&lt;$Y$4),($Z$4-D330)+$AB$1-(F330-E330)+(I330-$Z$3),IF(N330="Sáb",(I330-D330)-(G330-E330)-(S330-R330),IF(AND(B330&lt;$T$1,I330&gt;$Z$3),H330-$Z$3,IF(D330&lt;$Y$4,($Z$4-D330)+($AB$1-(F330-E330))+(I330-$Z$8)+(S330-R330),IF(AND(S330&lt;&gt;"",D330&gt;$Z$4),(S330-R330)-($AB$1-(F330-E330)),IF(AND(S330&lt;&gt;"",D330&lt;$Y$4),(S330-R330)-($AB$1-(F330-E330)+($Z$4-D330)),IF(I330&gt;$Z$8,($AB$1-(F330-E330))+(I330-$Z$8),IF(AND(N330="Sex",(F330-E330)&lt;($AB$1-$W$1)),($AB$1-(F330-E330)),IF(AND(O330&gt;($AB$1-$W$1),D330&gt;$Z$4),"",IF(AND(B330&gt;=$T$1,(F330-E330)&gt;($AB$1-$W$1)),"",IF(AND(D330&gt;=$Y$4,I330=$Z$8,S330=""),($AB$1-(F330-E330)),IF(AND(P330&lt;&gt;"",S330&lt;&gt;""),I330-$Z$8,IF(AND(P330&lt;&gt;"",D330&gt;$Y$4),$AB$1-(F330-E330),"")))))))))))))))))</f>
        <v/>
      </c>
      <c r="M330" s="107" t="str">
        <f>IFERROR(IF(H330="","",IF(B330=VLOOKUP(B330,Feriados[],2,0),(H330-D330)-(G330-E330),"")),"")</f>
        <v/>
      </c>
      <c r="N330" s="38" t="str">
        <f t="shared" si="28"/>
        <v>Ter</v>
      </c>
      <c r="O330" s="112">
        <f t="shared" si="29"/>
        <v>4.166666666666663E-2</v>
      </c>
      <c r="P330" s="113" t="str">
        <f>IF(B330=_xlfn.XLOOKUP(B330,Feriados[FE Oficial],Feriados[FE Talvez],"",0),"",IF(B330&lt;$T$1,"",IF(Q330="Consulta","",IF(Q330="Compensado","",IF(N330="Sáb","",IF(S330&lt;&gt;"",(S330-R330)-(($AB$1-O330)-(D330-$Z$4)),IF(O330&gt;$AB$1,O330-$AB$1,IF(C330&gt;$Z$4,C330-$Z$4,IF(AND(N330="Sex",G330&lt;&gt;"",H330=""),$Z$3-G330,IF(AND(G330&lt;&gt;"",H330=""),$Z$3-G330,IF(AND(N330="Sex",H330&lt;$Y$3),$Z$3-H330,IF(AND(N330&lt;&gt;"Sex",H330&gt;$AA$8),"",IF(AND(N330="Sex",H330&gt;$Z$8),"",IF(AND(N330&lt;&gt;"Sex",I330&gt;$Z$8),$Z$8-H330,IF(AND(N330&lt;&gt;"Sex",H330&lt;$Y$8),$Z$8-H330,"")))))))))))))))</f>
        <v/>
      </c>
      <c r="Q330" s="33"/>
      <c r="R330" s="33"/>
      <c r="S330" s="33"/>
    </row>
    <row r="331" spans="1:19" x14ac:dyDescent="0.25">
      <c r="A331" s="116" t="s">
        <v>206</v>
      </c>
      <c r="B331" s="32">
        <v>43908</v>
      </c>
      <c r="C331" s="39">
        <f t="shared" si="25"/>
        <v>0.33333333333333331</v>
      </c>
      <c r="D331" s="33">
        <v>0.33333333333333331</v>
      </c>
      <c r="E331" s="33">
        <v>0.5</v>
      </c>
      <c r="F331" s="39">
        <f t="shared" si="26"/>
        <v>0.54166666666666663</v>
      </c>
      <c r="G331" s="33">
        <v>0.54166666666666663</v>
      </c>
      <c r="H331" s="33">
        <v>0.75</v>
      </c>
      <c r="I331" s="39">
        <f>IFERROR(IF(B331=VLOOKUP(B331,Feriados[],2,0),H331,IF(N331="Sáb",H331,IF(AND(B331&lt;$T$1,H331&lt;=$AA$3),$Z$3,IF(AND(N331="Sex",H331&gt;$AA$3),H331,IF(H331&lt;=$AA$3,$Z$3,IF(H331&lt;=$AA$8,$Z$8,H331)))))),IF(N331="Sáb",H331,IF(AND(B331&lt;$T$1,H331&lt;=$AA$3),$Z$3,IF(AND(N331="Sex",H331&gt;$AA$3),H331,IF(H331&lt;=$AA$3,$Z$3,IF(H331&lt;=$AA$8,$Z$8,H331))))))</f>
        <v>0.75</v>
      </c>
      <c r="J331" s="33">
        <f t="shared" si="27"/>
        <v>0.37500000000000006</v>
      </c>
      <c r="K331" s="33">
        <f>IFERROR(IF(H331="","",IF(B331=VLOOKUP(B331,Feriados[],2,0),(H331-D331)-(G331-E331),IF(D331&lt;=$Y$4,(I331-D331)-(G331-E331),(I331-C331)-(F331-E331)))),IF(AND(D331&lt;=$Y$4,F331-E331=$AB$1),(I331-D331)-(F331-E331),IF(D331&lt;$Y$4,(I331-D331)-(G331-E331),(I331-C331)-(F331-E331))))</f>
        <v>0.37500000000000006</v>
      </c>
      <c r="L331" s="40" t="str">
        <f>IF(B331=_xlfn.XLOOKUP(B331,Feriados[FE Oficial],Feriados[FE Talvez],"",0),"",IF(Q331="Compensado","",IF(AND(N331="Sex",D331&lt;$Y$4),($Z$4-D331)+$AB$1-(F331-E331)+(I331-$Z$3),IF(AND(N331="Sex",I331&gt;$Z$3),($AB$1-(F331-E331))+(I331-$Z$3),IF(AND(N331="Sex",E331&lt;&gt;"",D331&lt;$Y$4),($Z$4-D331)+$AB$1-(F331-E331)+(I331-$Z$3),IF(N331="Sáb",(I331-D331)-(G331-E331)-(S331-R331),IF(AND(B331&lt;$T$1,I331&gt;$Z$3),H331-$Z$3,IF(D331&lt;$Y$4,($Z$4-D331)+($AB$1-(F331-E331))+(I331-$Z$8)+(S331-R331),IF(AND(S331&lt;&gt;"",D331&gt;$Z$4),(S331-R331)-($AB$1-(F331-E331)),IF(AND(S331&lt;&gt;"",D331&lt;$Y$4),(S331-R331)-($AB$1-(F331-E331)+($Z$4-D331)),IF(I331&gt;$Z$8,($AB$1-(F331-E331))+(I331-$Z$8),IF(AND(N331="Sex",(F331-E331)&lt;($AB$1-$W$1)),($AB$1-(F331-E331)),IF(AND(O331&gt;($AB$1-$W$1),D331&gt;$Z$4),"",IF(AND(B331&gt;=$T$1,(F331-E331)&gt;($AB$1-$W$1)),"",IF(AND(D331&gt;=$Y$4,I331=$Z$8,S331=""),($AB$1-(F331-E331)),IF(AND(P331&lt;&gt;"",S331&lt;&gt;""),I331-$Z$8,IF(AND(P331&lt;&gt;"",D331&gt;$Y$4),$AB$1-(F331-E331),"")))))))))))))))))</f>
        <v/>
      </c>
      <c r="M331" s="107" t="str">
        <f>IFERROR(IF(H331="","",IF(B331=VLOOKUP(B331,Feriados[],2,0),(H331-D331)-(G331-E331),"")),"")</f>
        <v/>
      </c>
      <c r="N331" s="38" t="str">
        <f t="shared" si="28"/>
        <v>Ter</v>
      </c>
      <c r="O331" s="112">
        <f t="shared" si="29"/>
        <v>4.166666666666663E-2</v>
      </c>
      <c r="P331" s="113" t="str">
        <f>IF(B331=_xlfn.XLOOKUP(B331,Feriados[FE Oficial],Feriados[FE Talvez],"",0),"",IF(B331&lt;$T$1,"",IF(Q331="Consulta","",IF(Q331="Compensado","",IF(N331="Sáb","",IF(S331&lt;&gt;"",(S331-R331)-(($AB$1-O331)-(D331-$Z$4)),IF(O331&gt;$AB$1,O331-$AB$1,IF(C331&gt;$Z$4,C331-$Z$4,IF(AND(N331="Sex",G331&lt;&gt;"",H331=""),$Z$3-G331,IF(AND(G331&lt;&gt;"",H331=""),$Z$3-G331,IF(AND(N331="Sex",H331&lt;$Y$3),$Z$3-H331,IF(AND(N331&lt;&gt;"Sex",H331&gt;$AA$8),"",IF(AND(N331="Sex",H331&gt;$Z$8),"",IF(AND(N331&lt;&gt;"Sex",I331&gt;$Z$8),$Z$8-H331,IF(AND(N331&lt;&gt;"Sex",H331&lt;$Y$8),$Z$8-H331,"")))))))))))))))</f>
        <v/>
      </c>
      <c r="Q331" s="33"/>
      <c r="R331" s="33"/>
      <c r="S331" s="33"/>
    </row>
    <row r="332" spans="1:19" x14ac:dyDescent="0.25">
      <c r="A332" s="115" t="s">
        <v>191</v>
      </c>
      <c r="B332" s="32">
        <v>43909</v>
      </c>
      <c r="C332" s="39">
        <f t="shared" si="25"/>
        <v>0.33333333333333331</v>
      </c>
      <c r="D332" s="33">
        <v>0.33333333333333331</v>
      </c>
      <c r="E332" s="33">
        <v>0.5</v>
      </c>
      <c r="F332" s="39">
        <f t="shared" si="26"/>
        <v>0.54166666666666663</v>
      </c>
      <c r="G332" s="33">
        <v>0.54166666666666663</v>
      </c>
      <c r="H332" s="33">
        <v>0.75</v>
      </c>
      <c r="I332" s="39">
        <f>IFERROR(IF(B332=VLOOKUP(B332,Feriados[],2,0),H332,IF(N332="Sáb",H332,IF(AND(B332&lt;$T$1,H332&lt;=$AA$3),$Z$3,IF(AND(N332="Sex",H332&gt;$AA$3),H332,IF(H332&lt;=$AA$3,$Z$3,IF(H332&lt;=$AA$8,$Z$8,H332)))))),IF(N332="Sáb",H332,IF(AND(B332&lt;$T$1,H332&lt;=$AA$3),$Z$3,IF(AND(N332="Sex",H332&gt;$AA$3),H332,IF(H332&lt;=$AA$3,$Z$3,IF(H332&lt;=$AA$8,$Z$8,H332))))))</f>
        <v>0.75</v>
      </c>
      <c r="J332" s="33">
        <f t="shared" si="27"/>
        <v>0.37500000000000006</v>
      </c>
      <c r="K332" s="33">
        <f>IFERROR(IF(H332="","",IF(B332=VLOOKUP(B332,Feriados[],2,0),(H332-D332)-(G332-E332),IF(D332&lt;=$Y$4,(I332-D332)-(G332-E332),(I332-C332)-(F332-E332)))),IF(AND(D332&lt;=$Y$4,F332-E332=$AB$1),(I332-D332)-(F332-E332),IF(D332&lt;$Y$4,(I332-D332)-(G332-E332),(I332-C332)-(F332-E332))))</f>
        <v>0.37500000000000006</v>
      </c>
      <c r="L332" s="40" t="str">
        <f>IF(B332=_xlfn.XLOOKUP(B332,Feriados[FE Oficial],Feriados[FE Talvez],"",0),"",IF(Q332="Compensado","",IF(AND(N332="Sex",D332&lt;$Y$4),($Z$4-D332)+$AB$1-(F332-E332)+(I332-$Z$3),IF(AND(N332="Sex",I332&gt;$Z$3),($AB$1-(F332-E332))+(I332-$Z$3),IF(AND(N332="Sex",E332&lt;&gt;"",D332&lt;$Y$4),($Z$4-D332)+$AB$1-(F332-E332)+(I332-$Z$3),IF(N332="Sáb",(I332-D332)-(G332-E332)-(S332-R332),IF(AND(B332&lt;$T$1,I332&gt;$Z$3),H332-$Z$3,IF(D332&lt;$Y$4,($Z$4-D332)+($AB$1-(F332-E332))+(I332-$Z$8)+(S332-R332),IF(AND(S332&lt;&gt;"",D332&gt;$Z$4),(S332-R332)-($AB$1-(F332-E332)),IF(AND(S332&lt;&gt;"",D332&lt;$Y$4),(S332-R332)-($AB$1-(F332-E332)+($Z$4-D332)),IF(I332&gt;$Z$8,($AB$1-(F332-E332))+(I332-$Z$8),IF(AND(N332="Sex",(F332-E332)&lt;($AB$1-$W$1)),($AB$1-(F332-E332)),IF(AND(O332&gt;($AB$1-$W$1),D332&gt;$Z$4),"",IF(AND(B332&gt;=$T$1,(F332-E332)&gt;($AB$1-$W$1)),"",IF(AND(D332&gt;=$Y$4,I332=$Z$8,S332=""),($AB$1-(F332-E332)),IF(AND(P332&lt;&gt;"",S332&lt;&gt;""),I332-$Z$8,IF(AND(P332&lt;&gt;"",D332&gt;$Y$4),$AB$1-(F332-E332),"")))))))))))))))))</f>
        <v/>
      </c>
      <c r="M332" s="107" t="str">
        <f>IFERROR(IF(H332="","",IF(B332=VLOOKUP(B332,Feriados[],2,0),(H332-D332)-(G332-E332),"")),"")</f>
        <v/>
      </c>
      <c r="N332" s="38" t="str">
        <f t="shared" si="28"/>
        <v>Qua</v>
      </c>
      <c r="O332" s="112">
        <f t="shared" si="29"/>
        <v>4.166666666666663E-2</v>
      </c>
      <c r="P332" s="113" t="str">
        <f>IF(B332=_xlfn.XLOOKUP(B332,Feriados[FE Oficial],Feriados[FE Talvez],"",0),"",IF(B332&lt;$T$1,"",IF(Q332="Consulta","",IF(Q332="Compensado","",IF(N332="Sáb","",IF(S332&lt;&gt;"",(S332-R332)-(($AB$1-O332)-(D332-$Z$4)),IF(O332&gt;$AB$1,O332-$AB$1,IF(C332&gt;$Z$4,C332-$Z$4,IF(AND(N332="Sex",G332&lt;&gt;"",H332=""),$Z$3-G332,IF(AND(G332&lt;&gt;"",H332=""),$Z$3-G332,IF(AND(N332="Sex",H332&lt;$Y$3),$Z$3-H332,IF(AND(N332&lt;&gt;"Sex",H332&gt;$AA$8),"",IF(AND(N332="Sex",H332&gt;$Z$8),"",IF(AND(N332&lt;&gt;"Sex",I332&gt;$Z$8),$Z$8-H332,IF(AND(N332&lt;&gt;"Sex",H332&lt;$Y$8),$Z$8-H332,"")))))))))))))))</f>
        <v/>
      </c>
      <c r="Q332" s="33"/>
      <c r="R332" s="33"/>
      <c r="S332" s="33"/>
    </row>
    <row r="333" spans="1:19" x14ac:dyDescent="0.25">
      <c r="A333" s="116" t="s">
        <v>204</v>
      </c>
      <c r="B333" s="32">
        <v>43909</v>
      </c>
      <c r="C333" s="39">
        <f t="shared" si="25"/>
        <v>0.33333333333333331</v>
      </c>
      <c r="D333" s="33">
        <v>0.33333333333333331</v>
      </c>
      <c r="E333" s="33">
        <v>0.5</v>
      </c>
      <c r="F333" s="39">
        <f t="shared" si="26"/>
        <v>0.54166666666666663</v>
      </c>
      <c r="G333" s="33">
        <v>0.54166666666666663</v>
      </c>
      <c r="H333" s="33">
        <v>0.75</v>
      </c>
      <c r="I333" s="39">
        <f>IFERROR(IF(B333=VLOOKUP(B333,Feriados[],2,0),H333,IF(N333="Sáb",H333,IF(AND(B333&lt;$T$1,H333&lt;=$AA$3),$Z$3,IF(AND(N333="Sex",H333&gt;$AA$3),H333,IF(H333&lt;=$AA$3,$Z$3,IF(H333&lt;=$AA$8,$Z$8,H333)))))),IF(N333="Sáb",H333,IF(AND(B333&lt;$T$1,H333&lt;=$AA$3),$Z$3,IF(AND(N333="Sex",H333&gt;$AA$3),H333,IF(H333&lt;=$AA$3,$Z$3,IF(H333&lt;=$AA$8,$Z$8,H333))))))</f>
        <v>0.75</v>
      </c>
      <c r="J333" s="33">
        <f t="shared" si="27"/>
        <v>0.37500000000000006</v>
      </c>
      <c r="K333" s="33">
        <f>IFERROR(IF(H333="","",IF(B333=VLOOKUP(B333,Feriados[],2,0),(H333-D333)-(G333-E333),IF(D333&lt;=$Y$4,(I333-D333)-(G333-E333),(I333-C333)-(F333-E333)))),IF(AND(D333&lt;=$Y$4,F333-E333=$AB$1),(I333-D333)-(F333-E333),IF(D333&lt;$Y$4,(I333-D333)-(G333-E333),(I333-C333)-(F333-E333))))</f>
        <v>0.37500000000000006</v>
      </c>
      <c r="L333" s="40" t="str">
        <f>IF(B333=_xlfn.XLOOKUP(B333,Feriados[FE Oficial],Feriados[FE Talvez],"",0),"",IF(Q333="Compensado","",IF(AND(N333="Sex",D333&lt;$Y$4),($Z$4-D333)+$AB$1-(F333-E333)+(I333-$Z$3),IF(AND(N333="Sex",I333&gt;$Z$3),($AB$1-(F333-E333))+(I333-$Z$3),IF(AND(N333="Sex",E333&lt;&gt;"",D333&lt;$Y$4),($Z$4-D333)+$AB$1-(F333-E333)+(I333-$Z$3),IF(N333="Sáb",(I333-D333)-(G333-E333)-(S333-R333),IF(AND(B333&lt;$T$1,I333&gt;$Z$3),H333-$Z$3,IF(D333&lt;$Y$4,($Z$4-D333)+($AB$1-(F333-E333))+(I333-$Z$8)+(S333-R333),IF(AND(S333&lt;&gt;"",D333&gt;$Z$4),(S333-R333)-($AB$1-(F333-E333)),IF(AND(S333&lt;&gt;"",D333&lt;$Y$4),(S333-R333)-($AB$1-(F333-E333)+($Z$4-D333)),IF(I333&gt;$Z$8,($AB$1-(F333-E333))+(I333-$Z$8),IF(AND(N333="Sex",(F333-E333)&lt;($AB$1-$W$1)),($AB$1-(F333-E333)),IF(AND(O333&gt;($AB$1-$W$1),D333&gt;$Z$4),"",IF(AND(B333&gt;=$T$1,(F333-E333)&gt;($AB$1-$W$1)),"",IF(AND(D333&gt;=$Y$4,I333=$Z$8,S333=""),($AB$1-(F333-E333)),IF(AND(P333&lt;&gt;"",S333&lt;&gt;""),I333-$Z$8,IF(AND(P333&lt;&gt;"",D333&gt;$Y$4),$AB$1-(F333-E333),"")))))))))))))))))</f>
        <v/>
      </c>
      <c r="M333" s="107" t="str">
        <f>IFERROR(IF(H333="","",IF(B333=VLOOKUP(B333,Feriados[],2,0),(H333-D333)-(G333-E333),"")),"")</f>
        <v/>
      </c>
      <c r="N333" s="38" t="str">
        <f t="shared" si="28"/>
        <v>Qua</v>
      </c>
      <c r="O333" s="112">
        <f t="shared" si="29"/>
        <v>4.166666666666663E-2</v>
      </c>
      <c r="P333" s="113" t="str">
        <f>IF(B333=_xlfn.XLOOKUP(B333,Feriados[FE Oficial],Feriados[FE Talvez],"",0),"",IF(B333&lt;$T$1,"",IF(Q333="Consulta","",IF(Q333="Compensado","",IF(N333="Sáb","",IF(S333&lt;&gt;"",(S333-R333)-(($AB$1-O333)-(D333-$Z$4)),IF(O333&gt;$AB$1,O333-$AB$1,IF(C333&gt;$Z$4,C333-$Z$4,IF(AND(N333="Sex",G333&lt;&gt;"",H333=""),$Z$3-G333,IF(AND(G333&lt;&gt;"",H333=""),$Z$3-G333,IF(AND(N333="Sex",H333&lt;$Y$3),$Z$3-H333,IF(AND(N333&lt;&gt;"Sex",H333&gt;$AA$8),"",IF(AND(N333="Sex",H333&gt;$Z$8),"",IF(AND(N333&lt;&gt;"Sex",I333&gt;$Z$8),$Z$8-H333,IF(AND(N333&lt;&gt;"Sex",H333&lt;$Y$8),$Z$8-H333,"")))))))))))))))</f>
        <v/>
      </c>
      <c r="Q333" s="33"/>
      <c r="R333" s="33"/>
      <c r="S333" s="33"/>
    </row>
    <row r="334" spans="1:19" x14ac:dyDescent="0.25">
      <c r="A334" s="116" t="s">
        <v>206</v>
      </c>
      <c r="B334" s="32">
        <v>43909</v>
      </c>
      <c r="C334" s="39">
        <f t="shared" si="25"/>
        <v>0.33333333333333331</v>
      </c>
      <c r="D334" s="33">
        <v>0.33333333333333331</v>
      </c>
      <c r="E334" s="33">
        <v>0.5</v>
      </c>
      <c r="F334" s="39">
        <f t="shared" si="26"/>
        <v>0.54166666666666663</v>
      </c>
      <c r="G334" s="33">
        <v>0.54166666666666663</v>
      </c>
      <c r="H334" s="33">
        <v>0.75</v>
      </c>
      <c r="I334" s="39">
        <f>IFERROR(IF(B334=VLOOKUP(B334,Feriados[],2,0),H334,IF(N334="Sáb",H334,IF(AND(B334&lt;$T$1,H334&lt;=$AA$3),$Z$3,IF(AND(N334="Sex",H334&gt;$AA$3),H334,IF(H334&lt;=$AA$3,$Z$3,IF(H334&lt;=$AA$8,$Z$8,H334)))))),IF(N334="Sáb",H334,IF(AND(B334&lt;$T$1,H334&lt;=$AA$3),$Z$3,IF(AND(N334="Sex",H334&gt;$AA$3),H334,IF(H334&lt;=$AA$3,$Z$3,IF(H334&lt;=$AA$8,$Z$8,H334))))))</f>
        <v>0.75</v>
      </c>
      <c r="J334" s="33">
        <f t="shared" si="27"/>
        <v>0.37500000000000006</v>
      </c>
      <c r="K334" s="33">
        <f>IFERROR(IF(H334="","",IF(B334=VLOOKUP(B334,Feriados[],2,0),(H334-D334)-(G334-E334),IF(D334&lt;=$Y$4,(I334-D334)-(G334-E334),(I334-C334)-(F334-E334)))),IF(AND(D334&lt;=$Y$4,F334-E334=$AB$1),(I334-D334)-(F334-E334),IF(D334&lt;$Y$4,(I334-D334)-(G334-E334),(I334-C334)-(F334-E334))))</f>
        <v>0.37500000000000006</v>
      </c>
      <c r="L334" s="40" t="str">
        <f>IF(B334=_xlfn.XLOOKUP(B334,Feriados[FE Oficial],Feriados[FE Talvez],"",0),"",IF(Q334="Compensado","",IF(AND(N334="Sex",D334&lt;$Y$4),($Z$4-D334)+$AB$1-(F334-E334)+(I334-$Z$3),IF(AND(N334="Sex",I334&gt;$Z$3),($AB$1-(F334-E334))+(I334-$Z$3),IF(AND(N334="Sex",E334&lt;&gt;"",D334&lt;$Y$4),($Z$4-D334)+$AB$1-(F334-E334)+(I334-$Z$3),IF(N334="Sáb",(I334-D334)-(G334-E334)-(S334-R334),IF(AND(B334&lt;$T$1,I334&gt;$Z$3),H334-$Z$3,IF(D334&lt;$Y$4,($Z$4-D334)+($AB$1-(F334-E334))+(I334-$Z$8)+(S334-R334),IF(AND(S334&lt;&gt;"",D334&gt;$Z$4),(S334-R334)-($AB$1-(F334-E334)),IF(AND(S334&lt;&gt;"",D334&lt;$Y$4),(S334-R334)-($AB$1-(F334-E334)+($Z$4-D334)),IF(I334&gt;$Z$8,($AB$1-(F334-E334))+(I334-$Z$8),IF(AND(N334="Sex",(F334-E334)&lt;($AB$1-$W$1)),($AB$1-(F334-E334)),IF(AND(O334&gt;($AB$1-$W$1),D334&gt;$Z$4),"",IF(AND(B334&gt;=$T$1,(F334-E334)&gt;($AB$1-$W$1)),"",IF(AND(D334&gt;=$Y$4,I334=$Z$8,S334=""),($AB$1-(F334-E334)),IF(AND(P334&lt;&gt;"",S334&lt;&gt;""),I334-$Z$8,IF(AND(P334&lt;&gt;"",D334&gt;$Y$4),$AB$1-(F334-E334),"")))))))))))))))))</f>
        <v/>
      </c>
      <c r="M334" s="107" t="str">
        <f>IFERROR(IF(H334="","",IF(B334=VLOOKUP(B334,Feriados[],2,0),(H334-D334)-(G334-E334),"")),"")</f>
        <v/>
      </c>
      <c r="N334" s="38" t="str">
        <f t="shared" si="28"/>
        <v>Qua</v>
      </c>
      <c r="O334" s="112">
        <f t="shared" si="29"/>
        <v>4.166666666666663E-2</v>
      </c>
      <c r="P334" s="113" t="str">
        <f>IF(B334=_xlfn.XLOOKUP(B334,Feriados[FE Oficial],Feriados[FE Talvez],"",0),"",IF(B334&lt;$T$1,"",IF(Q334="Consulta","",IF(Q334="Compensado","",IF(N334="Sáb","",IF(S334&lt;&gt;"",(S334-R334)-(($AB$1-O334)-(D334-$Z$4)),IF(O334&gt;$AB$1,O334-$AB$1,IF(C334&gt;$Z$4,C334-$Z$4,IF(AND(N334="Sex",G334&lt;&gt;"",H334=""),$Z$3-G334,IF(AND(G334&lt;&gt;"",H334=""),$Z$3-G334,IF(AND(N334="Sex",H334&lt;$Y$3),$Z$3-H334,IF(AND(N334&lt;&gt;"Sex",H334&gt;$AA$8),"",IF(AND(N334="Sex",H334&gt;$Z$8),"",IF(AND(N334&lt;&gt;"Sex",I334&gt;$Z$8),$Z$8-H334,IF(AND(N334&lt;&gt;"Sex",H334&lt;$Y$8),$Z$8-H334,"")))))))))))))))</f>
        <v/>
      </c>
      <c r="Q334" s="33"/>
      <c r="R334" s="33"/>
      <c r="S334" s="33"/>
    </row>
    <row r="335" spans="1:19" x14ac:dyDescent="0.25">
      <c r="A335" s="115" t="s">
        <v>191</v>
      </c>
      <c r="B335" s="32">
        <v>43910</v>
      </c>
      <c r="C335" s="39">
        <f t="shared" si="25"/>
        <v>0.33333333333333331</v>
      </c>
      <c r="D335" s="33">
        <v>0.33333333333333331</v>
      </c>
      <c r="E335" s="33">
        <v>0.5</v>
      </c>
      <c r="F335" s="39">
        <f t="shared" si="26"/>
        <v>0.54166666666666663</v>
      </c>
      <c r="G335" s="33">
        <v>0.54166666666666663</v>
      </c>
      <c r="H335" s="33">
        <v>0.75</v>
      </c>
      <c r="I335" s="39">
        <f>IFERROR(IF(B335=VLOOKUP(B335,Feriados[],2,0),H335,IF(N335="Sáb",H335,IF(AND(B335&lt;$T$1,H335&lt;=$AA$3),$Z$3,IF(AND(N335="Sex",H335&gt;$AA$3),H335,IF(H335&lt;=$AA$3,$Z$3,IF(H335&lt;=$AA$8,$Z$8,H335)))))),IF(N335="Sáb",H335,IF(AND(B335&lt;$T$1,H335&lt;=$AA$3),$Z$3,IF(AND(N335="Sex",H335&gt;$AA$3),H335,IF(H335&lt;=$AA$3,$Z$3,IF(H335&lt;=$AA$8,$Z$8,H335))))))</f>
        <v>0.75</v>
      </c>
      <c r="J335" s="33">
        <f t="shared" si="27"/>
        <v>0.37500000000000006</v>
      </c>
      <c r="K335" s="33">
        <f>IFERROR(IF(H335="","",IF(B335=VLOOKUP(B335,Feriados[],2,0),(H335-D335)-(G335-E335),IF(D335&lt;=$Y$4,(I335-D335)-(G335-E335),(I335-C335)-(F335-E335)))),IF(AND(D335&lt;=$Y$4,F335-E335=$AB$1),(I335-D335)-(F335-E335),IF(D335&lt;$Y$4,(I335-D335)-(G335-E335),(I335-C335)-(F335-E335))))</f>
        <v>0.37500000000000006</v>
      </c>
      <c r="L335" s="40" t="str">
        <f>IF(B335=_xlfn.XLOOKUP(B335,Feriados[FE Oficial],Feriados[FE Talvez],"",0),"",IF(Q335="Compensado","",IF(AND(N335="Sex",D335&lt;$Y$4),($Z$4-D335)+$AB$1-(F335-E335)+(I335-$Z$3),IF(AND(N335="Sex",I335&gt;$Z$3),($AB$1-(F335-E335))+(I335-$Z$3),IF(AND(N335="Sex",E335&lt;&gt;"",D335&lt;$Y$4),($Z$4-D335)+$AB$1-(F335-E335)+(I335-$Z$3),IF(N335="Sáb",(I335-D335)-(G335-E335)-(S335-R335),IF(AND(B335&lt;$T$1,I335&gt;$Z$3),H335-$Z$3,IF(D335&lt;$Y$4,($Z$4-D335)+($AB$1-(F335-E335))+(I335-$Z$8)+(S335-R335),IF(AND(S335&lt;&gt;"",D335&gt;$Z$4),(S335-R335)-($AB$1-(F335-E335)),IF(AND(S335&lt;&gt;"",D335&lt;$Y$4),(S335-R335)-($AB$1-(F335-E335)+($Z$4-D335)),IF(I335&gt;$Z$8,($AB$1-(F335-E335))+(I335-$Z$8),IF(AND(N335="Sex",(F335-E335)&lt;($AB$1-$W$1)),($AB$1-(F335-E335)),IF(AND(O335&gt;($AB$1-$W$1),D335&gt;$Z$4),"",IF(AND(B335&gt;=$T$1,(F335-E335)&gt;($AB$1-$W$1)),"",IF(AND(D335&gt;=$Y$4,I335=$Z$8,S335=""),($AB$1-(F335-E335)),IF(AND(P335&lt;&gt;"",S335&lt;&gt;""),I335-$Z$8,IF(AND(P335&lt;&gt;"",D335&gt;$Y$4),$AB$1-(F335-E335),"")))))))))))))))))</f>
        <v/>
      </c>
      <c r="M335" s="107" t="str">
        <f>IFERROR(IF(H335="","",IF(B335=VLOOKUP(B335,Feriados[],2,0),(H335-D335)-(G335-E335),"")),"")</f>
        <v/>
      </c>
      <c r="N335" s="38" t="str">
        <f t="shared" si="28"/>
        <v>Qui</v>
      </c>
      <c r="O335" s="112">
        <f t="shared" si="29"/>
        <v>4.166666666666663E-2</v>
      </c>
      <c r="P335" s="113" t="str">
        <f>IF(B335=_xlfn.XLOOKUP(B335,Feriados[FE Oficial],Feriados[FE Talvez],"",0),"",IF(B335&lt;$T$1,"",IF(Q335="Consulta","",IF(Q335="Compensado","",IF(N335="Sáb","",IF(S335&lt;&gt;"",(S335-R335)-(($AB$1-O335)-(D335-$Z$4)),IF(O335&gt;$AB$1,O335-$AB$1,IF(C335&gt;$Z$4,C335-$Z$4,IF(AND(N335="Sex",G335&lt;&gt;"",H335=""),$Z$3-G335,IF(AND(G335&lt;&gt;"",H335=""),$Z$3-G335,IF(AND(N335="Sex",H335&lt;$Y$3),$Z$3-H335,IF(AND(N335&lt;&gt;"Sex",H335&gt;$AA$8),"",IF(AND(N335="Sex",H335&gt;$Z$8),"",IF(AND(N335&lt;&gt;"Sex",I335&gt;$Z$8),$Z$8-H335,IF(AND(N335&lt;&gt;"Sex",H335&lt;$Y$8),$Z$8-H335,"")))))))))))))))</f>
        <v/>
      </c>
      <c r="Q335" s="33"/>
      <c r="R335" s="33"/>
      <c r="S335" s="33"/>
    </row>
    <row r="336" spans="1:19" x14ac:dyDescent="0.25">
      <c r="A336" s="115" t="s">
        <v>204</v>
      </c>
      <c r="B336" s="32">
        <v>43910</v>
      </c>
      <c r="C336" s="39">
        <f t="shared" si="25"/>
        <v>0.33333333333333331</v>
      </c>
      <c r="D336" s="33">
        <v>0.33333333333333331</v>
      </c>
      <c r="E336" s="33">
        <v>0.5</v>
      </c>
      <c r="F336" s="39">
        <f t="shared" si="26"/>
        <v>0.54166666666666663</v>
      </c>
      <c r="G336" s="33">
        <v>0.54583333333333328</v>
      </c>
      <c r="H336" s="33">
        <v>0.8305555555555556</v>
      </c>
      <c r="I336" s="39">
        <f>IFERROR(IF(B336=VLOOKUP(B336,Feriados[],2,0),H336,IF(N336="Sáb",H336,IF(AND(B336&lt;$T$1,H336&lt;=$AA$3),$Z$3,IF(AND(N336="Sex",H336&gt;$AA$3),H336,IF(H336&lt;=$AA$3,$Z$3,IF(H336&lt;=$AA$8,$Z$8,H336)))))),IF(N336="Sáb",H336,IF(AND(B336&lt;$T$1,H336&lt;=$AA$3),$Z$3,IF(AND(N336="Sex",H336&gt;$AA$3),H336,IF(H336&lt;=$AA$3,$Z$3,IF(H336&lt;=$AA$8,$Z$8,H336))))))</f>
        <v>0.8305555555555556</v>
      </c>
      <c r="J336" s="33">
        <f t="shared" si="27"/>
        <v>0.375</v>
      </c>
      <c r="K336" s="33">
        <f>IFERROR(IF(H336="","",IF(B336=VLOOKUP(B336,Feriados[],2,0),(H336-D336)-(G336-E336),IF(D336&lt;=$Y$4,(I336-D336)-(G336-E336),(I336-C336)-(F336-E336)))),IF(AND(D336&lt;=$Y$4,F336-E336=$AB$1),(I336-D336)-(F336-E336),IF(D336&lt;$Y$4,(I336-D336)-(G336-E336),(I336-C336)-(F336-E336))))</f>
        <v>0.45555555555555566</v>
      </c>
      <c r="L336" s="40">
        <f>IF(B336=_xlfn.XLOOKUP(B336,Feriados[FE Oficial],Feriados[FE Talvez],"",0),"",IF(Q336="Compensado","",IF(AND(N336="Sex",D336&lt;$Y$4),($Z$4-D336)+$AB$1-(F336-E336)+(I336-$Z$3),IF(AND(N336="Sex",I336&gt;$Z$3),($AB$1-(F336-E336))+(I336-$Z$3),IF(AND(N336="Sex",E336&lt;&gt;"",D336&lt;$Y$4),($Z$4-D336)+$AB$1-(F336-E336)+(I336-$Z$3),IF(N336="Sáb",(I336-D336)-(G336-E336)-(S336-R336),IF(AND(B336&lt;$T$1,I336&gt;$Z$3),H336-$Z$3,IF(D336&lt;$Y$4,($Z$4-D336)+($AB$1-(F336-E336))+(I336-$Z$8)+(S336-R336),IF(AND(S336&lt;&gt;"",D336&gt;$Z$4),(S336-R336)-($AB$1-(F336-E336)),IF(AND(S336&lt;&gt;"",D336&lt;$Y$4),(S336-R336)-($AB$1-(F336-E336)+($Z$4-D336)),IF(I336&gt;$Z$8,($AB$1-(F336-E336))+(I336-$Z$8),IF(AND(N336="Sex",(F336-E336)&lt;($AB$1-$W$1)),($AB$1-(F336-E336)),IF(AND(O336&gt;($AB$1-$W$1),D336&gt;$Z$4),"",IF(AND(B336&gt;=$T$1,(F336-E336)&gt;($AB$1-$W$1)),"",IF(AND(D336&gt;=$Y$4,I336=$Z$8,S336=""),($AB$1-(F336-E336)),IF(AND(P336&lt;&gt;"",S336&lt;&gt;""),I336-$Z$8,IF(AND(P336&lt;&gt;"",D336&gt;$Y$4),$AB$1-(F336-E336),"")))))))))))))))))</f>
        <v>8.055555555555563E-2</v>
      </c>
      <c r="M336" s="107" t="str">
        <f>IFERROR(IF(H336="","",IF(B336=VLOOKUP(B336,Feriados[],2,0),(H336-D336)-(G336-E336),"")),"")</f>
        <v/>
      </c>
      <c r="N336" s="38" t="str">
        <f t="shared" si="28"/>
        <v>Qui</v>
      </c>
      <c r="O336" s="112">
        <f t="shared" si="29"/>
        <v>4.5833333333333282E-2</v>
      </c>
      <c r="P336" s="113">
        <f>IF(B336=_xlfn.XLOOKUP(B336,Feriados[FE Oficial],Feriados[FE Talvez],"",0),"",IF(B336&lt;$T$1,"",IF(Q336="Consulta","",IF(Q336="Compensado","",IF(N336="Sáb","",IF(S336&lt;&gt;"",(S336-R336)-(($AB$1-O336)-(D336-$Z$4)),IF(O336&gt;$AB$1,O336-$AB$1,IF(C336&gt;$Z$4,C336-$Z$4,IF(AND(N336="Sex",G336&lt;&gt;"",H336=""),$Z$3-G336,IF(AND(G336&lt;&gt;"",H336=""),$Z$3-G336,IF(AND(N336="Sex",H336&lt;$Y$3),$Z$3-H336,IF(AND(N336&lt;&gt;"Sex",H336&gt;$AA$8),"",IF(AND(N336="Sex",H336&gt;$Z$8),"",IF(AND(N336&lt;&gt;"Sex",I336&gt;$Z$8),$Z$8-H336,IF(AND(N336&lt;&gt;"Sex",H336&lt;$Y$8),$Z$8-H336,"")))))))))))))))</f>
        <v>4.1666666666666172E-3</v>
      </c>
      <c r="Q336" s="33"/>
      <c r="R336" s="33"/>
      <c r="S336" s="33"/>
    </row>
    <row r="337" spans="1:19" x14ac:dyDescent="0.25">
      <c r="A337" s="115" t="s">
        <v>206</v>
      </c>
      <c r="B337" s="32">
        <v>43910</v>
      </c>
      <c r="C337" s="39">
        <f t="shared" si="25"/>
        <v>0.33333333333333331</v>
      </c>
      <c r="D337" s="33">
        <v>0.33333333333333331</v>
      </c>
      <c r="E337" s="33">
        <v>0.5</v>
      </c>
      <c r="F337" s="39">
        <f t="shared" si="26"/>
        <v>0.54166666666666663</v>
      </c>
      <c r="G337" s="33">
        <v>0.54166666666666663</v>
      </c>
      <c r="H337" s="33">
        <v>0.8305555555555556</v>
      </c>
      <c r="I337" s="39">
        <f>IFERROR(IF(B337=VLOOKUP(B337,Feriados[],2,0),H337,IF(N337="Sáb",H337,IF(AND(B337&lt;$T$1,H337&lt;=$AA$3),$Z$3,IF(AND(N337="Sex",H337&gt;$AA$3),H337,IF(H337&lt;=$AA$3,$Z$3,IF(H337&lt;=$AA$8,$Z$8,H337)))))),IF(N337="Sáb",H337,IF(AND(B337&lt;$T$1,H337&lt;=$AA$3),$Z$3,IF(AND(N337="Sex",H337&gt;$AA$3),H337,IF(H337&lt;=$AA$3,$Z$3,IF(H337&lt;=$AA$8,$Z$8,H337))))))</f>
        <v>0.8305555555555556</v>
      </c>
      <c r="J337" s="33">
        <f t="shared" si="27"/>
        <v>0.375</v>
      </c>
      <c r="K337" s="33">
        <f>IFERROR(IF(H337="","",IF(B337=VLOOKUP(B337,Feriados[],2,0),(H337-D337)-(G337-E337),IF(D337&lt;=$Y$4,(I337-D337)-(G337-E337),(I337-C337)-(F337-E337)))),IF(AND(D337&lt;=$Y$4,F337-E337=$AB$1),(I337-D337)-(F337-E337),IF(D337&lt;$Y$4,(I337-D337)-(G337-E337),(I337-C337)-(F337-E337))))</f>
        <v>0.45555555555555566</v>
      </c>
      <c r="L337" s="40">
        <f>IF(B337=_xlfn.XLOOKUP(B337,Feriados[FE Oficial],Feriados[FE Talvez],"",0),"",IF(Q337="Compensado","",IF(AND(N337="Sex",D337&lt;$Y$4),($Z$4-D337)+$AB$1-(F337-E337)+(I337-$Z$3),IF(AND(N337="Sex",I337&gt;$Z$3),($AB$1-(F337-E337))+(I337-$Z$3),IF(AND(N337="Sex",E337&lt;&gt;"",D337&lt;$Y$4),($Z$4-D337)+$AB$1-(F337-E337)+(I337-$Z$3),IF(N337="Sáb",(I337-D337)-(G337-E337)-(S337-R337),IF(AND(B337&lt;$T$1,I337&gt;$Z$3),H337-$Z$3,IF(D337&lt;$Y$4,($Z$4-D337)+($AB$1-(F337-E337))+(I337-$Z$8)+(S337-R337),IF(AND(S337&lt;&gt;"",D337&gt;$Z$4),(S337-R337)-($AB$1-(F337-E337)),IF(AND(S337&lt;&gt;"",D337&lt;$Y$4),(S337-R337)-($AB$1-(F337-E337)+($Z$4-D337)),IF(I337&gt;$Z$8,($AB$1-(F337-E337))+(I337-$Z$8),IF(AND(N337="Sex",(F337-E337)&lt;($AB$1-$W$1)),($AB$1-(F337-E337)),IF(AND(O337&gt;($AB$1-$W$1),D337&gt;$Z$4),"",IF(AND(B337&gt;=$T$1,(F337-E337)&gt;($AB$1-$W$1)),"",IF(AND(D337&gt;=$Y$4,I337=$Z$8,S337=""),($AB$1-(F337-E337)),IF(AND(P337&lt;&gt;"",S337&lt;&gt;""),I337-$Z$8,IF(AND(P337&lt;&gt;"",D337&gt;$Y$4),$AB$1-(F337-E337),"")))))))))))))))))</f>
        <v>8.055555555555563E-2</v>
      </c>
      <c r="M337" s="107" t="str">
        <f>IFERROR(IF(H337="","",IF(B337=VLOOKUP(B337,Feriados[],2,0),(H337-D337)-(G337-E337),"")),"")</f>
        <v/>
      </c>
      <c r="N337" s="38" t="str">
        <f t="shared" si="28"/>
        <v>Qui</v>
      </c>
      <c r="O337" s="112">
        <f t="shared" si="29"/>
        <v>4.166666666666663E-2</v>
      </c>
      <c r="P337" s="113" t="str">
        <f>IF(B337=_xlfn.XLOOKUP(B337,Feriados[FE Oficial],Feriados[FE Talvez],"",0),"",IF(B337&lt;$T$1,"",IF(Q337="Consulta","",IF(Q337="Compensado","",IF(N337="Sáb","",IF(S337&lt;&gt;"",(S337-R337)-(($AB$1-O337)-(D337-$Z$4)),IF(O337&gt;$AB$1,O337-$AB$1,IF(C337&gt;$Z$4,C337-$Z$4,IF(AND(N337="Sex",G337&lt;&gt;"",H337=""),$Z$3-G337,IF(AND(G337&lt;&gt;"",H337=""),$Z$3-G337,IF(AND(N337="Sex",H337&lt;$Y$3),$Z$3-H337,IF(AND(N337&lt;&gt;"Sex",H337&gt;$AA$8),"",IF(AND(N337="Sex",H337&gt;$Z$8),"",IF(AND(N337&lt;&gt;"Sex",I337&gt;$Z$8),$Z$8-H337,IF(AND(N337&lt;&gt;"Sex",H337&lt;$Y$8),$Z$8-H337,"")))))))))))))))</f>
        <v/>
      </c>
      <c r="Q337" s="33"/>
      <c r="R337" s="33"/>
      <c r="S337" s="33"/>
    </row>
    <row r="338" spans="1:19" x14ac:dyDescent="0.25">
      <c r="A338" s="115" t="s">
        <v>191</v>
      </c>
      <c r="B338" s="32">
        <v>43911</v>
      </c>
      <c r="C338" s="39">
        <f t="shared" ref="C338:C340" si="30">IF(D338="","",IF(D338&lt;=$Y$4,$Z$4,IF(D338&lt;=$AA$4,$Z$4,D338)))</f>
        <v>0.33333333333333331</v>
      </c>
      <c r="D338" s="33">
        <v>0.33333333333333331</v>
      </c>
      <c r="E338" s="33">
        <v>0.5</v>
      </c>
      <c r="F338" s="39">
        <f t="shared" ref="F338:F340" si="31">IF(G338-E338&lt;=$X$1,G338,E338+$AB$1)</f>
        <v>0.54166666666666663</v>
      </c>
      <c r="G338" s="33">
        <v>0.54166666666666663</v>
      </c>
      <c r="H338" s="33">
        <v>0.70833333333333337</v>
      </c>
      <c r="I338" s="39">
        <f>IFERROR(IF(B338=VLOOKUP(B338,Feriados[],2,0),H338,IF(N338="Sáb",H338,IF(AND(B338&lt;$T$1,H338&lt;=$AA$3),$Z$3,IF(AND(N338="Sex",H338&gt;$AA$3),H338,IF(H338&lt;=$AA$3,$Z$3,IF(H338&lt;=$AA$8,$Z$8,H338)))))),IF(N338="Sáb",H338,IF(AND(B338&lt;$T$1,H338&lt;=$AA$3),$Z$3,IF(AND(N338="Sex",H338&gt;$AA$3),H338,IF(H338&lt;=$AA$3,$Z$3,IF(H338&lt;=$AA$8,$Z$8,H338))))))</f>
        <v>0.70833333333333337</v>
      </c>
      <c r="J338" s="33">
        <f t="shared" ref="J338:J340" si="32">IF((H338-D338)-(G338-E338)&lt;$AB$1,"",IF(AND(B338&lt;$T$1,(H338-D338)-(G338-E338)&gt;$Y$2),$Y$2,IF(AND(N338="Sex",(H338-D338)-(G338-E338)&gt;$Y$2),$Y$2,IF((H338-D338)-(G338-E338)&gt;$X$2,$X$2,(H338-D338)-(G338-E338)))))</f>
        <v>0.33333333333333343</v>
      </c>
      <c r="K338" s="33">
        <f>IFERROR(IF(H338="","",IF(B338=VLOOKUP(B338,Feriados[],2,0),(H338-D338)-(G338-E338),IF(D338&lt;=$Y$4,(I338-D338)-(G338-E338),(I338-C338)-(F338-E338)))),IF(AND(D338&lt;=$Y$4,F338-E338=$AB$1),(I338-D338)-(F338-E338),IF(D338&lt;$Y$4,(I338-D338)-(G338-E338),(I338-C338)-(F338-E338))))</f>
        <v>0.33333333333333343</v>
      </c>
      <c r="L338" s="40" t="str">
        <f>IF(B338=_xlfn.XLOOKUP(B338,Feriados[FE Oficial],Feriados[FE Talvez],"",0),"",IF(Q338="Compensado","",IF(AND(N338="Sex",D338&lt;$Y$4),($Z$4-D338)+$AB$1-(F338-E338)+(I338-$Z$3),IF(AND(N338="Sex",I338&gt;$Z$3),($AB$1-(F338-E338))+(I338-$Z$3),IF(AND(N338="Sex",E338&lt;&gt;"",D338&lt;$Y$4),($Z$4-D338)+$AB$1-(F338-E338)+(I338-$Z$3),IF(N338="Sáb",(I338-D338)-(G338-E338)-(S338-R338),IF(AND(B338&lt;$T$1,I338&gt;$Z$3),H338-$Z$3,IF(D338&lt;$Y$4,($Z$4-D338)+($AB$1-(F338-E338))+(I338-$Z$8)+(S338-R338),IF(AND(S338&lt;&gt;"",D338&gt;$Z$4),(S338-R338)-($AB$1-(F338-E338)),IF(AND(S338&lt;&gt;"",D338&lt;$Y$4),(S338-R338)-($AB$1-(F338-E338)+($Z$4-D338)),IF(I338&gt;$Z$8,($AB$1-(F338-E338))+(I338-$Z$8),IF(AND(N338="Sex",(F338-E338)&lt;($AB$1-$W$1)),($AB$1-(F338-E338)),IF(AND(O338&gt;($AB$1-$W$1),D338&gt;$Z$4),"",IF(AND(B338&gt;=$T$1,(F338-E338)&gt;($AB$1-$W$1)),"",IF(AND(D338&gt;=$Y$4,I338=$Z$8,S338=""),($AB$1-(F338-E338)),IF(AND(P338&lt;&gt;"",S338&lt;&gt;""),I338-$Z$8,IF(AND(P338&lt;&gt;"",D338&gt;$Y$4),$AB$1-(F338-E338),"")))))))))))))))))</f>
        <v/>
      </c>
      <c r="M338" s="107" t="str">
        <f>IFERROR(IF(H338="","",IF(B338=VLOOKUP(B338,Feriados[],2,0),(H338-D338)-(G338-E338),"")),"")</f>
        <v/>
      </c>
      <c r="N338" s="38" t="str">
        <f t="shared" ref="N338:N340" si="33">PROPER(TEXT(B338,"DDD"))</f>
        <v>Sex</v>
      </c>
      <c r="O338" s="112">
        <f t="shared" ref="O338:O340" si="34">G338-E338</f>
        <v>4.166666666666663E-2</v>
      </c>
      <c r="P338" s="113" t="str">
        <f>IF(B338=_xlfn.XLOOKUP(B338,Feriados[FE Oficial],Feriados[FE Talvez],"",0),"",IF(B338&lt;$T$1,"",IF(Q338="Consulta","",IF(Q338="Compensado","",IF(N338="Sáb","",IF(S338&lt;&gt;"",(S338-R338)-(($AB$1-O338)-(D338-$Z$4)),IF(O338&gt;$AB$1,O338-$AB$1,IF(C338&gt;$Z$4,C338-$Z$4,IF(AND(N338="Sex",G338&lt;&gt;"",H338=""),$Z$3-G338,IF(AND(G338&lt;&gt;"",H338=""),$Z$3-G338,IF(AND(N338="Sex",H338&lt;$Y$3),$Z$3-H338,IF(AND(N338&lt;&gt;"Sex",H338&gt;$AA$8),"",IF(AND(N338="Sex",H338&gt;$Z$8),"",IF(AND(N338&lt;&gt;"Sex",I338&gt;$Z$8),$Z$8-H338,IF(AND(N338&lt;&gt;"Sex",H338&lt;$Y$8),$Z$8-H338,"")))))))))))))))</f>
        <v/>
      </c>
      <c r="Q338" s="33"/>
      <c r="R338" s="33"/>
      <c r="S338" s="33"/>
    </row>
    <row r="339" spans="1:19" x14ac:dyDescent="0.25">
      <c r="A339" s="115" t="s">
        <v>204</v>
      </c>
      <c r="B339" s="32">
        <v>43911</v>
      </c>
      <c r="C339" s="39">
        <f t="shared" si="30"/>
        <v>0.33333333333333331</v>
      </c>
      <c r="D339" s="33">
        <v>0.33333333333333331</v>
      </c>
      <c r="E339" s="33">
        <v>0.5</v>
      </c>
      <c r="F339" s="39">
        <f t="shared" si="31"/>
        <v>0.54166666666666663</v>
      </c>
      <c r="G339" s="33">
        <v>0.54305555555555551</v>
      </c>
      <c r="H339" s="33">
        <v>0.70833333333333337</v>
      </c>
      <c r="I339" s="39">
        <f>IFERROR(IF(B339=VLOOKUP(B339,Feriados[],2,0),H339,IF(N339="Sáb",H339,IF(AND(B339&lt;$T$1,H339&lt;=$AA$3),$Z$3,IF(AND(N339="Sex",H339&gt;$AA$3),H339,IF(H339&lt;=$AA$3,$Z$3,IF(H339&lt;=$AA$8,$Z$8,H339)))))),IF(N339="Sáb",H339,IF(AND(B339&lt;$T$1,H339&lt;=$AA$3),$Z$3,IF(AND(N339="Sex",H339&gt;$AA$3),H339,IF(H339&lt;=$AA$3,$Z$3,IF(H339&lt;=$AA$8,$Z$8,H339))))))</f>
        <v>0.70833333333333337</v>
      </c>
      <c r="J339" s="33">
        <f t="shared" si="32"/>
        <v>0.33194444444444454</v>
      </c>
      <c r="K339" s="33">
        <f>IFERROR(IF(H339="","",IF(B339=VLOOKUP(B339,Feriados[],2,0),(H339-D339)-(G339-E339),IF(D339&lt;=$Y$4,(I339-D339)-(G339-E339),(I339-C339)-(F339-E339)))),IF(AND(D339&lt;=$Y$4,F339-E339=$AB$1),(I339-D339)-(F339-E339),IF(D339&lt;$Y$4,(I339-D339)-(G339-E339),(I339-C339)-(F339-E339))))</f>
        <v>0.33333333333333343</v>
      </c>
      <c r="L339" s="40" t="str">
        <f>IF(B339=_xlfn.XLOOKUP(B339,Feriados[FE Oficial],Feriados[FE Talvez],"",0),"",IF(Q339="Compensado","",IF(AND(N339="Sex",D339&lt;$Y$4),($Z$4-D339)+$AB$1-(F339-E339)+(I339-$Z$3),IF(AND(N339="Sex",I339&gt;$Z$3),($AB$1-(F339-E339))+(I339-$Z$3),IF(AND(N339="Sex",E339&lt;&gt;"",D339&lt;$Y$4),($Z$4-D339)+$AB$1-(F339-E339)+(I339-$Z$3),IF(N339="Sáb",(I339-D339)-(G339-E339)-(S339-R339),IF(AND(B339&lt;$T$1,I339&gt;$Z$3),H339-$Z$3,IF(D339&lt;$Y$4,($Z$4-D339)+($AB$1-(F339-E339))+(I339-$Z$8)+(S339-R339),IF(AND(S339&lt;&gt;"",D339&gt;$Z$4),(S339-R339)-($AB$1-(F339-E339)),IF(AND(S339&lt;&gt;"",D339&lt;$Y$4),(S339-R339)-($AB$1-(F339-E339)+($Z$4-D339)),IF(I339&gt;$Z$8,($AB$1-(F339-E339))+(I339-$Z$8),IF(AND(N339="Sex",(F339-E339)&lt;($AB$1-$W$1)),($AB$1-(F339-E339)),IF(AND(O339&gt;($AB$1-$W$1),D339&gt;$Z$4),"",IF(AND(B339&gt;=$T$1,(F339-E339)&gt;($AB$1-$W$1)),"",IF(AND(D339&gt;=$Y$4,I339=$Z$8,S339=""),($AB$1-(F339-E339)),IF(AND(P339&lt;&gt;"",S339&lt;&gt;""),I339-$Z$8,IF(AND(P339&lt;&gt;"",D339&gt;$Y$4),$AB$1-(F339-E339),"")))))))))))))))))</f>
        <v/>
      </c>
      <c r="M339" s="107" t="str">
        <f>IFERROR(IF(H339="","",IF(B339=VLOOKUP(B339,Feriados[],2,0),(H339-D339)-(G339-E339),"")),"")</f>
        <v/>
      </c>
      <c r="N339" s="38" t="str">
        <f t="shared" si="33"/>
        <v>Sex</v>
      </c>
      <c r="O339" s="112">
        <f t="shared" si="34"/>
        <v>4.3055555555555514E-2</v>
      </c>
      <c r="P339" s="113">
        <f>IF(B339=_xlfn.XLOOKUP(B339,Feriados[FE Oficial],Feriados[FE Talvez],"",0),"",IF(B339&lt;$T$1,"",IF(Q339="Consulta","",IF(Q339="Compensado","",IF(N339="Sáb","",IF(S339&lt;&gt;"",(S339-R339)-(($AB$1-O339)-(D339-$Z$4)),IF(O339&gt;$AB$1,O339-$AB$1,IF(C339&gt;$Z$4,C339-$Z$4,IF(AND(N339="Sex",G339&lt;&gt;"",H339=""),$Z$3-G339,IF(AND(G339&lt;&gt;"",H339=""),$Z$3-G339,IF(AND(N339="Sex",H339&lt;$Y$3),$Z$3-H339,IF(AND(N339&lt;&gt;"Sex",H339&gt;$AA$8),"",IF(AND(N339="Sex",H339&gt;$Z$8),"",IF(AND(N339&lt;&gt;"Sex",I339&gt;$Z$8),$Z$8-H339,IF(AND(N339&lt;&gt;"Sex",H339&lt;$Y$8),$Z$8-H339,"")))))))))))))))</f>
        <v>1.3888888888888493E-3</v>
      </c>
      <c r="Q339" s="33"/>
      <c r="R339" s="33"/>
      <c r="S339" s="33"/>
    </row>
    <row r="340" spans="1:19" x14ac:dyDescent="0.25">
      <c r="A340" s="116" t="s">
        <v>206</v>
      </c>
      <c r="B340" s="32">
        <v>43911</v>
      </c>
      <c r="C340" s="39">
        <f t="shared" si="30"/>
        <v>0.33333333333333331</v>
      </c>
      <c r="D340" s="33">
        <v>0.33333333333333331</v>
      </c>
      <c r="E340" s="33">
        <v>0.5</v>
      </c>
      <c r="F340" s="39">
        <f t="shared" si="31"/>
        <v>0.54166666666666663</v>
      </c>
      <c r="G340" s="33">
        <v>0.54166666666666663</v>
      </c>
      <c r="H340" s="33">
        <v>0.70833333333333337</v>
      </c>
      <c r="I340" s="39">
        <f>IFERROR(IF(B340=VLOOKUP(B340,Feriados[],2,0),H340,IF(N340="Sáb",H340,IF(AND(B340&lt;$T$1,H340&lt;=$AA$3),$Z$3,IF(AND(N340="Sex",H340&gt;$AA$3),H340,IF(H340&lt;=$AA$3,$Z$3,IF(H340&lt;=$AA$8,$Z$8,H340)))))),IF(N340="Sáb",H340,IF(AND(B340&lt;$T$1,H340&lt;=$AA$3),$Z$3,IF(AND(N340="Sex",H340&gt;$AA$3),H340,IF(H340&lt;=$AA$3,$Z$3,IF(H340&lt;=$AA$8,$Z$8,H340))))))</f>
        <v>0.70833333333333337</v>
      </c>
      <c r="J340" s="33">
        <f t="shared" si="32"/>
        <v>0.33333333333333343</v>
      </c>
      <c r="K340" s="33">
        <f>IFERROR(IF(H340="","",IF(B340=VLOOKUP(B340,Feriados[],2,0),(H340-D340)-(G340-E340),IF(D340&lt;=$Y$4,(I340-D340)-(G340-E340),(I340-C340)-(F340-E340)))),IF(AND(D340&lt;=$Y$4,F340-E340=$AB$1),(I340-D340)-(F340-E340),IF(D340&lt;$Y$4,(I340-D340)-(G340-E340),(I340-C340)-(F340-E340))))</f>
        <v>0.33333333333333343</v>
      </c>
      <c r="L340" s="40" t="str">
        <f>IF(B340=_xlfn.XLOOKUP(B340,Feriados[FE Oficial],Feriados[FE Talvez],"",0),"",IF(Q340="Compensado","",IF(AND(N340="Sex",D340&lt;$Y$4),($Z$4-D340)+$AB$1-(F340-E340)+(I340-$Z$3),IF(AND(N340="Sex",I340&gt;$Z$3),($AB$1-(F340-E340))+(I340-$Z$3),IF(AND(N340="Sex",E340&lt;&gt;"",D340&lt;$Y$4),($Z$4-D340)+$AB$1-(F340-E340)+(I340-$Z$3),IF(N340="Sáb",(I340-D340)-(G340-E340)-(S340-R340),IF(AND(B340&lt;$T$1,I340&gt;$Z$3),H340-$Z$3,IF(D340&lt;$Y$4,($Z$4-D340)+($AB$1-(F340-E340))+(I340-$Z$8)+(S340-R340),IF(AND(S340&lt;&gt;"",D340&gt;$Z$4),(S340-R340)-($AB$1-(F340-E340)),IF(AND(S340&lt;&gt;"",D340&lt;$Y$4),(S340-R340)-($AB$1-(F340-E340)+($Z$4-D340)),IF(I340&gt;$Z$8,($AB$1-(F340-E340))+(I340-$Z$8),IF(AND(N340="Sex",(F340-E340)&lt;($AB$1-$W$1)),($AB$1-(F340-E340)),IF(AND(O340&gt;($AB$1-$W$1),D340&gt;$Z$4),"",IF(AND(B340&gt;=$T$1,(F340-E340)&gt;($AB$1-$W$1)),"",IF(AND(D340&gt;=$Y$4,I340=$Z$8,S340=""),($AB$1-(F340-E340)),IF(AND(P340&lt;&gt;"",S340&lt;&gt;""),I340-$Z$8,IF(AND(P340&lt;&gt;"",D340&gt;$Y$4),$AB$1-(F340-E340),"")))))))))))))))))</f>
        <v/>
      </c>
      <c r="M340" s="107" t="str">
        <f>IFERROR(IF(H340="","",IF(B340=VLOOKUP(B340,Feriados[],2,0),(H340-D340)-(G340-E340),"")),"")</f>
        <v/>
      </c>
      <c r="N340" s="38" t="str">
        <f t="shared" si="33"/>
        <v>Sex</v>
      </c>
      <c r="O340" s="112">
        <f t="shared" si="34"/>
        <v>4.166666666666663E-2</v>
      </c>
      <c r="P340" s="113" t="str">
        <f>IF(B340=_xlfn.XLOOKUP(B340,Feriados[FE Oficial],Feriados[FE Talvez],"",0),"",IF(B340&lt;$T$1,"",IF(Q340="Consulta","",IF(Q340="Compensado","",IF(N340="Sáb","",IF(S340&lt;&gt;"",(S340-R340)-(($AB$1-O340)-(D340-$Z$4)),IF(O340&gt;$AB$1,O340-$AB$1,IF(C340&gt;$Z$4,C340-$Z$4,IF(AND(N340="Sex",G340&lt;&gt;"",H340=""),$Z$3-G340,IF(AND(G340&lt;&gt;"",H340=""),$Z$3-G340,IF(AND(N340="Sex",H340&lt;$Y$3),$Z$3-H340,IF(AND(N340&lt;&gt;"Sex",H340&gt;$AA$8),"",IF(AND(N340="Sex",H340&gt;$Z$8),"",IF(AND(N340&lt;&gt;"Sex",I340&gt;$Z$8),$Z$8-H340,IF(AND(N340&lt;&gt;"Sex",H340&lt;$Y$8),$Z$8-H340,"")))))))))))))))</f>
        <v/>
      </c>
      <c r="Q340" s="33"/>
      <c r="R340" s="33"/>
      <c r="S340" s="33"/>
    </row>
    <row r="341" spans="1:19" x14ac:dyDescent="0.25">
      <c r="A341" s="115" t="s">
        <v>209</v>
      </c>
      <c r="B341" s="32">
        <v>43911</v>
      </c>
      <c r="C341" s="39">
        <f>IF(D341="","",IF(D341&lt;=$Y$4,$Z$4,IF(D341&lt;=$AA$4,$Z$4,D341)))</f>
        <v>0.33333333333333331</v>
      </c>
      <c r="D341" s="33">
        <v>0.33333333333333331</v>
      </c>
      <c r="E341" s="33">
        <v>0.5</v>
      </c>
      <c r="F341" s="39">
        <f>IF(G341-E341&lt;=$X$1,G341,E341+$AB$1)</f>
        <v>0.54166666666666663</v>
      </c>
      <c r="G341" s="33">
        <v>0.54166666666666663</v>
      </c>
      <c r="H341" s="33">
        <v>0.70833333333333337</v>
      </c>
      <c r="I341" s="39">
        <f>IFERROR(IF(B341=VLOOKUP(B341,Feriados[],2,0),H341,IF(N341="Sáb",H341,IF(AND(B341&lt;$T$1,H341&lt;=$AA$3),$Z$3,IF(AND(N341="Sex",H341&gt;$AA$3),H341,IF(H341&lt;=$AA$3,$Z$3,IF(H341&lt;=$AA$8,$Z$8,H341)))))),IF(N341="Sáb",H341,IF(AND(B341&lt;$T$1,H341&lt;=$AA$3),$Z$3,IF(AND(N341="Sex",H341&gt;$AA$3),H341,IF(H341&lt;=$AA$3,$Z$3,IF(H341&lt;=$AA$8,$Z$8,H341))))))</f>
        <v>0.70833333333333337</v>
      </c>
      <c r="J341" s="33">
        <f>IF((H341-D341)-(G341-E341)&lt;$AB$1,"",IF(AND(B341&lt;$T$1,(H341-D341)-(G341-E341)&gt;$Y$2),$Y$2,IF(AND(N341="Sex",(H341-D341)-(G341-E341)&gt;$Y$2),$Y$2,IF((H341-D341)-(G341-E341)&gt;$X$2,$X$2,(H341-D341)-(G341-E341)))))</f>
        <v>0.33333333333333343</v>
      </c>
      <c r="K341" s="33">
        <f>IFERROR(IF(H341="","",IF(B341=VLOOKUP(B341,Feriados[],2,0),(H341-D341)-(G341-E341),IF(D341&lt;=$Y$4,(I341-D341)-(G341-E341),(I341-C341)-(F341-E341)))),IF(AND(D341&lt;=$Y$4,F341-E341=$AB$1),(I341-D341)-(F341-E341),IF(D341&lt;$Y$4,(I341-D341)-(G341-E341),(I341-C341)-(F341-E341))))</f>
        <v>0.33333333333333343</v>
      </c>
      <c r="L341" s="40" t="str">
        <f>IF(B341=_xlfn.XLOOKUP(B341,Feriados[FE Oficial],Feriados[FE Talvez],"",0),"",IF(Q341="Compensado","",IF(AND(N341="Sex",D341&lt;$Y$4),($Z$4-D341)+$AB$1-(F341-E341)+(I341-$Z$3),IF(AND(N341="Sex",I341&gt;$Z$3),($AB$1-(F341-E341))+(I341-$Z$3),IF(AND(N341="Sex",E341&lt;&gt;"",D341&lt;$Y$4),($Z$4-D341)+$AB$1-(F341-E341)+(I341-$Z$3),IF(N341="Sáb",(I341-D341)-(G341-E341)-(S341-R341),IF(AND(B341&lt;$T$1,I341&gt;$Z$3),H341-$Z$3,IF(D341&lt;$Y$4,($Z$4-D341)+($AB$1-(F341-E341))+(I341-$Z$8)+(S341-R341),IF(AND(S341&lt;&gt;"",D341&gt;$Z$4),(S341-R341)-($AB$1-(F341-E341)),IF(AND(S341&lt;&gt;"",D341&lt;$Y$4),(S341-R341)-($AB$1-(F341-E341)+($Z$4-D341)),IF(I341&gt;$Z$8,($AB$1-(F341-E341))+(I341-$Z$8),IF(AND(N341="Sex",(F341-E341)&lt;($AB$1-$W$1)),($AB$1-(F341-E341)),IF(AND(O341&gt;($AB$1-$W$1),D341&gt;$Z$4),"",IF(AND(B341&gt;=$T$1,(F341-E341)&gt;($AB$1-$W$1)),"",IF(AND(D341&gt;=$Y$4,I341=$Z$8,S341=""),($AB$1-(F341-E341)),IF(AND(P341&lt;&gt;"",S341&lt;&gt;""),I341-$Z$8,IF(AND(P341&lt;&gt;"",D341&gt;$Y$4),$AB$1-(F341-E341),"")))))))))))))))))</f>
        <v/>
      </c>
      <c r="M341" s="107" t="str">
        <f>IFERROR(IF(H341="","",IF(B341=VLOOKUP(B341,Feriados[],2,0),(H341-D341)-(G341-E341),"")),"")</f>
        <v/>
      </c>
      <c r="N341" s="38" t="str">
        <f>PROPER(TEXT(B341,"DDD"))</f>
        <v>Sex</v>
      </c>
      <c r="O341" s="112">
        <f>G341-E341</f>
        <v>4.166666666666663E-2</v>
      </c>
      <c r="P341" s="113" t="str">
        <f>IF(B341=_xlfn.XLOOKUP(B341,Feriados[FE Oficial],Feriados[FE Talvez],"",0),"",IF(B341&lt;$T$1,"",IF(Q341="Consulta","",IF(Q341="Compensado","",IF(N341="Sáb","",IF(S341&lt;&gt;"",(S341-R341)-(($AB$1-O341)-(D341-$Z$4)),IF(O341&gt;$AB$1,O341-$AB$1,IF(C341&gt;$Z$4,C341-$Z$4,IF(AND(N341="Sex",G341&lt;&gt;"",H341=""),$Z$3-G341,IF(AND(G341&lt;&gt;"",H341=""),$Z$3-G341,IF(AND(N341="Sex",H341&lt;$Y$3),$Z$3-H341,IF(AND(N341&lt;&gt;"Sex",H341&gt;$AA$8),"",IF(AND(N341="Sex",H341&gt;$Z$8),"",IF(AND(N341&lt;&gt;"Sex",I341&gt;$Z$8),$Z$8-H341,IF(AND(N341&lt;&gt;"Sex",H341&lt;$Y$8),$Z$8-H341,"")))))))))))))))</f>
        <v/>
      </c>
      <c r="Q341" s="33"/>
      <c r="R341" s="33"/>
      <c r="S341" s="33"/>
    </row>
    <row r="342" spans="1:19" x14ac:dyDescent="0.25">
      <c r="A342" s="115" t="s">
        <v>206</v>
      </c>
      <c r="B342" s="32">
        <v>43912</v>
      </c>
      <c r="C342" s="39">
        <f>IF(D342="","",IF(D342&lt;=$Y$4,$Z$4,IF(D342&lt;=$AA$4,$Z$4,D342)))</f>
        <v>0.33333333333333331</v>
      </c>
      <c r="D342" s="33">
        <v>0.33333333333333331</v>
      </c>
      <c r="E342" s="33">
        <v>0.5</v>
      </c>
      <c r="F342" s="39">
        <f>IF(G342-E342&lt;=$X$1,G342,E342+$AB$1)</f>
        <v>0.54166666666666663</v>
      </c>
      <c r="G342" s="33">
        <v>0.54166666666666663</v>
      </c>
      <c r="H342" s="33">
        <v>0.66666666666666663</v>
      </c>
      <c r="I342" s="39">
        <f>IFERROR(IF(B342=VLOOKUP(B342,Feriados[],2,0),H342,IF(N342="Sáb",H342,IF(AND(B342&lt;$T$1,H342&lt;=$AA$3),$Z$3,IF(AND(N342="Sex",H342&gt;$AA$3),H342,IF(H342&lt;=$AA$3,$Z$3,IF(H342&lt;=$AA$8,$Z$8,H342)))))),IF(N342="Sáb",H342,IF(AND(B342&lt;$T$1,H342&lt;=$AA$3),$Z$3,IF(AND(N342="Sex",H342&gt;$AA$3),H342,IF(H342&lt;=$AA$3,$Z$3,IF(H342&lt;=$AA$8,$Z$8,H342))))))</f>
        <v>0.66666666666666663</v>
      </c>
      <c r="J342" s="33">
        <f>IF((H342-D342)-(G342-E342)&lt;$AB$1,"",IF(AND(B342&lt;$T$1,(H342-D342)-(G342-E342)&gt;$Y$2),$Y$2,IF(AND(N342="Sex",(H342-D342)-(G342-E342)&gt;$Y$2),$Y$2,IF((H342-D342)-(G342-E342)&gt;$X$2,$X$2,(H342-D342)-(G342-E342)))))</f>
        <v>0.29166666666666669</v>
      </c>
      <c r="K342" s="33">
        <f>IFERROR(IF(H342="","",IF(B342=VLOOKUP(B342,Feriados[],2,0),(H342-D342)-(G342-E342),IF(D342&lt;=$Y$4,(I342-D342)-(G342-E342),(I342-C342)-(F342-E342)))),IF(AND(D342&lt;=$Y$4,F342-E342=$AB$1),(I342-D342)-(F342-E342),IF(D342&lt;$Y$4,(I342-D342)-(G342-E342),(I342-C342)-(F342-E342))))</f>
        <v>0.29166666666666669</v>
      </c>
      <c r="L342" s="40">
        <f>IF(B342=_xlfn.XLOOKUP(B342,Feriados[FE Oficial],Feriados[FE Talvez],"",0),"",IF(Q342="Compensado","",IF(AND(N342="Sex",D342&lt;$Y$4),($Z$4-D342)+$AB$1-(F342-E342)+(I342-$Z$3),IF(AND(N342="Sex",I342&gt;$Z$3),($AB$1-(F342-E342))+(I342-$Z$3),IF(AND(N342="Sex",E342&lt;&gt;"",D342&lt;$Y$4),($Z$4-D342)+$AB$1-(F342-E342)+(I342-$Z$3),IF(N342="Sáb",(I342-D342)-(G342-E342)-(S342-R342),IF(AND(B342&lt;$T$1,I342&gt;$Z$3),H342-$Z$3,IF(D342&lt;$Y$4,($Z$4-D342)+($AB$1-(F342-E342))+(I342-$Z$8)+(S342-R342),IF(AND(S342&lt;&gt;"",D342&gt;$Z$4),(S342-R342)-($AB$1-(F342-E342)),IF(AND(S342&lt;&gt;"",D342&lt;$Y$4),(S342-R342)-($AB$1-(F342-E342)+($Z$4-D342)),IF(I342&gt;$Z$8,($AB$1-(F342-E342))+(I342-$Z$8),IF(AND(N342="Sex",(F342-E342)&lt;($AB$1-$W$1)),($AB$1-(F342-E342)),IF(AND(O342&gt;($AB$1-$W$1),D342&gt;$Z$4),"",IF(AND(B342&gt;=$T$1,(F342-E342)&gt;($AB$1-$W$1)),"",IF(AND(D342&gt;=$Y$4,I342=$Z$8,S342=""),($AB$1-(F342-E342)),IF(AND(P342&lt;&gt;"",S342&lt;&gt;""),I342-$Z$8,IF(AND(P342&lt;&gt;"",D342&gt;$Y$4),$AB$1-(F342-E342),"")))))))))))))))))</f>
        <v>0.29166666666666669</v>
      </c>
      <c r="M342" s="107" t="str">
        <f>IFERROR(IF(H342="","",IF(B342=VLOOKUP(B342,Feriados[],2,0),(H342-D342)-(G342-E342),"")),"")</f>
        <v/>
      </c>
      <c r="N342" s="38" t="str">
        <f>PROPER(TEXT(B342,"DDD"))</f>
        <v>Sáb</v>
      </c>
      <c r="O342" s="112">
        <f>G342-E342</f>
        <v>4.166666666666663E-2</v>
      </c>
      <c r="P342" s="113" t="str">
        <f>IF(B342=_xlfn.XLOOKUP(B342,Feriados[FE Oficial],Feriados[FE Talvez],"",0),"",IF(B342&lt;$T$1,"",IF(Q342="Consulta","",IF(Q342="Compensado","",IF(N342="Sáb","",IF(S342&lt;&gt;"",(S342-R342)-(($AB$1-O342)-(D342-$Z$4)),IF(O342&gt;$AB$1,O342-$AB$1,IF(C342&gt;$Z$4,C342-$Z$4,IF(AND(N342="Sex",G342&lt;&gt;"",H342=""),$Z$3-G342,IF(AND(G342&lt;&gt;"",H342=""),$Z$3-G342,IF(AND(N342="Sex",H342&lt;$Y$3),$Z$3-H342,IF(AND(N342&lt;&gt;"Sex",H342&gt;$AA$8),"",IF(AND(N342="Sex",H342&gt;$Z$8),"",IF(AND(N342&lt;&gt;"Sex",I342&gt;$Z$8),$Z$8-H342,IF(AND(N342&lt;&gt;"Sex",H342&lt;$Y$8),$Z$8-H342,"")))))))))))))))</f>
        <v/>
      </c>
      <c r="Q342" s="33"/>
      <c r="R342" s="33"/>
      <c r="S342" s="33"/>
    </row>
    <row r="343" spans="1:19" x14ac:dyDescent="0.25">
      <c r="A343" s="115" t="s">
        <v>191</v>
      </c>
      <c r="B343" s="32">
        <v>43914</v>
      </c>
      <c r="C343" s="39">
        <f t="shared" ref="C343:C346" si="35">IF(D343="","",IF(D343&lt;=$Y$4,$Z$4,IF(D343&lt;=$AA$4,$Z$4,D343)))</f>
        <v>0.33333333333333331</v>
      </c>
      <c r="D343" s="33">
        <v>0.33333333333333331</v>
      </c>
      <c r="E343" s="33">
        <v>0.5</v>
      </c>
      <c r="F343" s="39">
        <f t="shared" ref="F343:F346" si="36">IF(G343-E343&lt;=$X$1,G343,E343+$AB$1)</f>
        <v>0.54166666666666663</v>
      </c>
      <c r="G343" s="33">
        <v>0.54166666666666663</v>
      </c>
      <c r="H343" s="33">
        <v>0.75</v>
      </c>
      <c r="I343" s="39">
        <f>IFERROR(IF(B343=VLOOKUP(B343,Feriados[],2,0),H343,IF(N343="Sáb",H343,IF(AND(B343&lt;$T$1,H343&lt;=$AA$3),$Z$3,IF(AND(N343="Sex",H343&gt;$AA$3),H343,IF(H343&lt;=$AA$3,$Z$3,IF(H343&lt;=$AA$8,$Z$8,H343)))))),IF(N343="Sáb",H343,IF(AND(B343&lt;$T$1,H343&lt;=$AA$3),$Z$3,IF(AND(N343="Sex",H343&gt;$AA$3),H343,IF(H343&lt;=$AA$3,$Z$3,IF(H343&lt;=$AA$8,$Z$8,H343))))))</f>
        <v>0.75</v>
      </c>
      <c r="J343" s="33">
        <f t="shared" ref="J343:J346" si="37">IF((H343-D343)-(G343-E343)&lt;$AB$1,"",IF(AND(B343&lt;$T$1,(H343-D343)-(G343-E343)&gt;$Y$2),$Y$2,IF(AND(N343="Sex",(H343-D343)-(G343-E343)&gt;$Y$2),$Y$2,IF((H343-D343)-(G343-E343)&gt;$X$2,$X$2,(H343-D343)-(G343-E343)))))</f>
        <v>0.37500000000000006</v>
      </c>
      <c r="K343" s="33">
        <f>IFERROR(IF(H343="","",IF(B343=VLOOKUP(B343,Feriados[],2,0),(H343-D343)-(G343-E343),IF(D343&lt;=$Y$4,(I343-D343)-(G343-E343),(I343-C343)-(F343-E343)))),IF(AND(D343&lt;=$Y$4,F343-E343=$AB$1),(I343-D343)-(F343-E343),IF(D343&lt;$Y$4,(I343-D343)-(G343-E343),(I343-C343)-(F343-E343))))</f>
        <v>0.37500000000000006</v>
      </c>
      <c r="L343" s="40" t="str">
        <f>IF(B343=_xlfn.XLOOKUP(B343,Feriados[FE Oficial],Feriados[FE Talvez],"",0),"",IF(Q343="Compensado","",IF(AND(N343="Sex",D343&lt;$Y$4),($Z$4-D343)+$AB$1-(F343-E343)+(I343-$Z$3),IF(AND(N343="Sex",I343&gt;$Z$3),($AB$1-(F343-E343))+(I343-$Z$3),IF(AND(N343="Sex",E343&lt;&gt;"",D343&lt;$Y$4),($Z$4-D343)+$AB$1-(F343-E343)+(I343-$Z$3),IF(N343="Sáb",(I343-D343)-(G343-E343)-(S343-R343),IF(AND(B343&lt;$T$1,I343&gt;$Z$3),H343-$Z$3,IF(D343&lt;$Y$4,($Z$4-D343)+($AB$1-(F343-E343))+(I343-$Z$8)+(S343-R343),IF(AND(S343&lt;&gt;"",D343&gt;$Z$4),(S343-R343)-($AB$1-(F343-E343)),IF(AND(S343&lt;&gt;"",D343&lt;$Y$4),(S343-R343)-($AB$1-(F343-E343)+($Z$4-D343)),IF(I343&gt;$Z$8,($AB$1-(F343-E343))+(I343-$Z$8),IF(AND(N343="Sex",(F343-E343)&lt;($AB$1-$W$1)),($AB$1-(F343-E343)),IF(AND(O343&gt;($AB$1-$W$1),D343&gt;$Z$4),"",IF(AND(B343&gt;=$T$1,(F343-E343)&gt;($AB$1-$W$1)),"",IF(AND(D343&gt;=$Y$4,I343=$Z$8,S343=""),($AB$1-(F343-E343)),IF(AND(P343&lt;&gt;"",S343&lt;&gt;""),I343-$Z$8,IF(AND(P343&lt;&gt;"",D343&gt;$Y$4),$AB$1-(F343-E343),"")))))))))))))))))</f>
        <v/>
      </c>
      <c r="M343" s="107" t="str">
        <f>IFERROR(IF(H343="","",IF(B343=VLOOKUP(B343,Feriados[],2,0),(H343-D343)-(G343-E343),"")),"")</f>
        <v/>
      </c>
      <c r="N343" s="38" t="str">
        <f t="shared" ref="N343:N346" si="38">PROPER(TEXT(B343,"DDD"))</f>
        <v>Seg</v>
      </c>
      <c r="O343" s="112">
        <f t="shared" ref="O343:O346" si="39">G343-E343</f>
        <v>4.166666666666663E-2</v>
      </c>
      <c r="P343" s="113" t="str">
        <f>IF(B343=_xlfn.XLOOKUP(B343,Feriados[FE Oficial],Feriados[FE Talvez],"",0),"",IF(B343&lt;$T$1,"",IF(Q343="Consulta","",IF(Q343="Compensado","",IF(N343="Sáb","",IF(S343&lt;&gt;"",(S343-R343)-(($AB$1-O343)-(D343-$Z$4)),IF(O343&gt;$AB$1,O343-$AB$1,IF(C343&gt;$Z$4,C343-$Z$4,IF(AND(N343="Sex",G343&lt;&gt;"",H343=""),$Z$3-G343,IF(AND(G343&lt;&gt;"",H343=""),$Z$3-G343,IF(AND(N343="Sex",H343&lt;$Y$3),$Z$3-H343,IF(AND(N343&lt;&gt;"Sex",H343&gt;$AA$8),"",IF(AND(N343="Sex",H343&gt;$Z$8),"",IF(AND(N343&lt;&gt;"Sex",I343&gt;$Z$8),$Z$8-H343,IF(AND(N343&lt;&gt;"Sex",H343&lt;$Y$8),$Z$8-H343,"")))))))))))))))</f>
        <v/>
      </c>
      <c r="Q343" s="33"/>
      <c r="R343" s="33"/>
      <c r="S343" s="33"/>
    </row>
    <row r="344" spans="1:19" x14ac:dyDescent="0.25">
      <c r="A344" s="115" t="s">
        <v>204</v>
      </c>
      <c r="B344" s="32">
        <v>43914</v>
      </c>
      <c r="C344" s="39">
        <f t="shared" si="35"/>
        <v>0.33333333333333331</v>
      </c>
      <c r="D344" s="33">
        <v>0.33333333333333331</v>
      </c>
      <c r="E344" s="33">
        <v>0.5</v>
      </c>
      <c r="F344" s="39">
        <f t="shared" si="36"/>
        <v>0.54166666666666663</v>
      </c>
      <c r="G344" s="33">
        <v>0.54166666666666663</v>
      </c>
      <c r="H344" s="33">
        <v>0.75</v>
      </c>
      <c r="I344" s="39">
        <f>IFERROR(IF(B344=VLOOKUP(B344,Feriados[],2,0),H344,IF(N344="Sáb",H344,IF(AND(B344&lt;$T$1,H344&lt;=$AA$3),$Z$3,IF(AND(N344="Sex",H344&gt;$AA$3),H344,IF(H344&lt;=$AA$3,$Z$3,IF(H344&lt;=$AA$8,$Z$8,H344)))))),IF(N344="Sáb",H344,IF(AND(B344&lt;$T$1,H344&lt;=$AA$3),$Z$3,IF(AND(N344="Sex",H344&gt;$AA$3),H344,IF(H344&lt;=$AA$3,$Z$3,IF(H344&lt;=$AA$8,$Z$8,H344))))))</f>
        <v>0.75</v>
      </c>
      <c r="J344" s="33">
        <f t="shared" si="37"/>
        <v>0.37500000000000006</v>
      </c>
      <c r="K344" s="33">
        <f>IFERROR(IF(H344="","",IF(B344=VLOOKUP(B344,Feriados[],2,0),(H344-D344)-(G344-E344),IF(D344&lt;=$Y$4,(I344-D344)-(G344-E344),(I344-C344)-(F344-E344)))),IF(AND(D344&lt;=$Y$4,F344-E344=$AB$1),(I344-D344)-(F344-E344),IF(D344&lt;$Y$4,(I344-D344)-(G344-E344),(I344-C344)-(F344-E344))))</f>
        <v>0.37500000000000006</v>
      </c>
      <c r="L344" s="40" t="str">
        <f>IF(B344=_xlfn.XLOOKUP(B344,Feriados[FE Oficial],Feriados[FE Talvez],"",0),"",IF(Q344="Compensado","",IF(AND(N344="Sex",D344&lt;$Y$4),($Z$4-D344)+$AB$1-(F344-E344)+(I344-$Z$3),IF(AND(N344="Sex",I344&gt;$Z$3),($AB$1-(F344-E344))+(I344-$Z$3),IF(AND(N344="Sex",E344&lt;&gt;"",D344&lt;$Y$4),($Z$4-D344)+$AB$1-(F344-E344)+(I344-$Z$3),IF(N344="Sáb",(I344-D344)-(G344-E344)-(S344-R344),IF(AND(B344&lt;$T$1,I344&gt;$Z$3),H344-$Z$3,IF(D344&lt;$Y$4,($Z$4-D344)+($AB$1-(F344-E344))+(I344-$Z$8)+(S344-R344),IF(AND(S344&lt;&gt;"",D344&gt;$Z$4),(S344-R344)-($AB$1-(F344-E344)),IF(AND(S344&lt;&gt;"",D344&lt;$Y$4),(S344-R344)-($AB$1-(F344-E344)+($Z$4-D344)),IF(I344&gt;$Z$8,($AB$1-(F344-E344))+(I344-$Z$8),IF(AND(N344="Sex",(F344-E344)&lt;($AB$1-$W$1)),($AB$1-(F344-E344)),IF(AND(O344&gt;($AB$1-$W$1),D344&gt;$Z$4),"",IF(AND(B344&gt;=$T$1,(F344-E344)&gt;($AB$1-$W$1)),"",IF(AND(D344&gt;=$Y$4,I344=$Z$8,S344=""),($AB$1-(F344-E344)),IF(AND(P344&lt;&gt;"",S344&lt;&gt;""),I344-$Z$8,IF(AND(P344&lt;&gt;"",D344&gt;$Y$4),$AB$1-(F344-E344),"")))))))))))))))))</f>
        <v/>
      </c>
      <c r="M344" s="107" t="str">
        <f>IFERROR(IF(H344="","",IF(B344=VLOOKUP(B344,Feriados[],2,0),(H344-D344)-(G344-E344),"")),"")</f>
        <v/>
      </c>
      <c r="N344" s="38" t="str">
        <f t="shared" si="38"/>
        <v>Seg</v>
      </c>
      <c r="O344" s="112">
        <f t="shared" si="39"/>
        <v>4.166666666666663E-2</v>
      </c>
      <c r="P344" s="113" t="str">
        <f>IF(B344=_xlfn.XLOOKUP(B344,Feriados[FE Oficial],Feriados[FE Talvez],"",0),"",IF(B344&lt;$T$1,"",IF(Q344="Consulta","",IF(Q344="Compensado","",IF(N344="Sáb","",IF(S344&lt;&gt;"",(S344-R344)-(($AB$1-O344)-(D344-$Z$4)),IF(O344&gt;$AB$1,O344-$AB$1,IF(C344&gt;$Z$4,C344-$Z$4,IF(AND(N344="Sex",G344&lt;&gt;"",H344=""),$Z$3-G344,IF(AND(G344&lt;&gt;"",H344=""),$Z$3-G344,IF(AND(N344="Sex",H344&lt;$Y$3),$Z$3-H344,IF(AND(N344&lt;&gt;"Sex",H344&gt;$AA$8),"",IF(AND(N344="Sex",H344&gt;$Z$8),"",IF(AND(N344&lt;&gt;"Sex",I344&gt;$Z$8),$Z$8-H344,IF(AND(N344&lt;&gt;"Sex",H344&lt;$Y$8),$Z$8-H344,"")))))))))))))))</f>
        <v/>
      </c>
      <c r="Q344" s="33"/>
      <c r="R344" s="33"/>
      <c r="S344" s="33"/>
    </row>
    <row r="345" spans="1:19" x14ac:dyDescent="0.25">
      <c r="A345" s="115" t="s">
        <v>206</v>
      </c>
      <c r="B345" s="32">
        <v>43914</v>
      </c>
      <c r="C345" s="39">
        <f t="shared" si="35"/>
        <v>0.33333333333333331</v>
      </c>
      <c r="D345" s="33">
        <v>0.33333333333333331</v>
      </c>
      <c r="E345" s="33">
        <v>0.5</v>
      </c>
      <c r="F345" s="39">
        <f t="shared" si="36"/>
        <v>0.54166666666666663</v>
      </c>
      <c r="G345" s="33">
        <v>0.54166666666666663</v>
      </c>
      <c r="H345" s="33">
        <v>0.75</v>
      </c>
      <c r="I345" s="39">
        <f>IFERROR(IF(B345=VLOOKUP(B345,Feriados[],2,0),H345,IF(N345="Sáb",H345,IF(AND(B345&lt;$T$1,H345&lt;=$AA$3),$Z$3,IF(AND(N345="Sex",H345&gt;$AA$3),H345,IF(H345&lt;=$AA$3,$Z$3,IF(H345&lt;=$AA$8,$Z$8,H345)))))),IF(N345="Sáb",H345,IF(AND(B345&lt;$T$1,H345&lt;=$AA$3),$Z$3,IF(AND(N345="Sex",H345&gt;$AA$3),H345,IF(H345&lt;=$AA$3,$Z$3,IF(H345&lt;=$AA$8,$Z$8,H345))))))</f>
        <v>0.75</v>
      </c>
      <c r="J345" s="33">
        <f t="shared" si="37"/>
        <v>0.37500000000000006</v>
      </c>
      <c r="K345" s="33">
        <f>IFERROR(IF(H345="","",IF(B345=VLOOKUP(B345,Feriados[],2,0),(H345-D345)-(G345-E345),IF(D345&lt;=$Y$4,(I345-D345)-(G345-E345),(I345-C345)-(F345-E345)))),IF(AND(D345&lt;=$Y$4,F345-E345=$AB$1),(I345-D345)-(F345-E345),IF(D345&lt;$Y$4,(I345-D345)-(G345-E345),(I345-C345)-(F345-E345))))</f>
        <v>0.37500000000000006</v>
      </c>
      <c r="L345" s="40" t="str">
        <f>IF(B345=_xlfn.XLOOKUP(B345,Feriados[FE Oficial],Feriados[FE Talvez],"",0),"",IF(Q345="Compensado","",IF(AND(N345="Sex",D345&lt;$Y$4),($Z$4-D345)+$AB$1-(F345-E345)+(I345-$Z$3),IF(AND(N345="Sex",I345&gt;$Z$3),($AB$1-(F345-E345))+(I345-$Z$3),IF(AND(N345="Sex",E345&lt;&gt;"",D345&lt;$Y$4),($Z$4-D345)+$AB$1-(F345-E345)+(I345-$Z$3),IF(N345="Sáb",(I345-D345)-(G345-E345)-(S345-R345),IF(AND(B345&lt;$T$1,I345&gt;$Z$3),H345-$Z$3,IF(D345&lt;$Y$4,($Z$4-D345)+($AB$1-(F345-E345))+(I345-$Z$8)+(S345-R345),IF(AND(S345&lt;&gt;"",D345&gt;$Z$4),(S345-R345)-($AB$1-(F345-E345)),IF(AND(S345&lt;&gt;"",D345&lt;$Y$4),(S345-R345)-($AB$1-(F345-E345)+($Z$4-D345)),IF(I345&gt;$Z$8,($AB$1-(F345-E345))+(I345-$Z$8),IF(AND(N345="Sex",(F345-E345)&lt;($AB$1-$W$1)),($AB$1-(F345-E345)),IF(AND(O345&gt;($AB$1-$W$1),D345&gt;$Z$4),"",IF(AND(B345&gt;=$T$1,(F345-E345)&gt;($AB$1-$W$1)),"",IF(AND(D345&gt;=$Y$4,I345=$Z$8,S345=""),($AB$1-(F345-E345)),IF(AND(P345&lt;&gt;"",S345&lt;&gt;""),I345-$Z$8,IF(AND(P345&lt;&gt;"",D345&gt;$Y$4),$AB$1-(F345-E345),"")))))))))))))))))</f>
        <v/>
      </c>
      <c r="M345" s="107" t="str">
        <f>IFERROR(IF(H345="","",IF(B345=VLOOKUP(B345,Feriados[],2,0),(H345-D345)-(G345-E345),"")),"")</f>
        <v/>
      </c>
      <c r="N345" s="38" t="str">
        <f t="shared" si="38"/>
        <v>Seg</v>
      </c>
      <c r="O345" s="112">
        <f t="shared" si="39"/>
        <v>4.166666666666663E-2</v>
      </c>
      <c r="P345" s="113" t="str">
        <f>IF(B345=_xlfn.XLOOKUP(B345,Feriados[FE Oficial],Feriados[FE Talvez],"",0),"",IF(B345&lt;$T$1,"",IF(Q345="Consulta","",IF(Q345="Compensado","",IF(N345="Sáb","",IF(S345&lt;&gt;"",(S345-R345)-(($AB$1-O345)-(D345-$Z$4)),IF(O345&gt;$AB$1,O345-$AB$1,IF(C345&gt;$Z$4,C345-$Z$4,IF(AND(N345="Sex",G345&lt;&gt;"",H345=""),$Z$3-G345,IF(AND(G345&lt;&gt;"",H345=""),$Z$3-G345,IF(AND(N345="Sex",H345&lt;$Y$3),$Z$3-H345,IF(AND(N345&lt;&gt;"Sex",H345&gt;$AA$8),"",IF(AND(N345="Sex",H345&gt;$Z$8),"",IF(AND(N345&lt;&gt;"Sex",I345&gt;$Z$8),$Z$8-H345,IF(AND(N345&lt;&gt;"Sex",H345&lt;$Y$8),$Z$8-H345,"")))))))))))))))</f>
        <v/>
      </c>
      <c r="Q345" s="33"/>
      <c r="R345" s="33"/>
      <c r="S345" s="33"/>
    </row>
    <row r="346" spans="1:19" x14ac:dyDescent="0.25">
      <c r="A346" s="116" t="s">
        <v>209</v>
      </c>
      <c r="B346" s="32">
        <v>43914</v>
      </c>
      <c r="C346" s="39">
        <f t="shared" si="35"/>
        <v>0.33333333333333331</v>
      </c>
      <c r="D346" s="33">
        <v>0.33333333333333331</v>
      </c>
      <c r="E346" s="33">
        <v>0.5</v>
      </c>
      <c r="F346" s="39">
        <f t="shared" si="36"/>
        <v>0.54166666666666663</v>
      </c>
      <c r="G346" s="33">
        <v>0.54166666666666663</v>
      </c>
      <c r="H346" s="33">
        <v>0.75</v>
      </c>
      <c r="I346" s="39">
        <f>IFERROR(IF(B346=VLOOKUP(B346,Feriados[],2,0),H346,IF(N346="Sáb",H346,IF(AND(B346&lt;$T$1,H346&lt;=$AA$3),$Z$3,IF(AND(N346="Sex",H346&gt;$AA$3),H346,IF(H346&lt;=$AA$3,$Z$3,IF(H346&lt;=$AA$8,$Z$8,H346)))))),IF(N346="Sáb",H346,IF(AND(B346&lt;$T$1,H346&lt;=$AA$3),$Z$3,IF(AND(N346="Sex",H346&gt;$AA$3),H346,IF(H346&lt;=$AA$3,$Z$3,IF(H346&lt;=$AA$8,$Z$8,H346))))))</f>
        <v>0.75</v>
      </c>
      <c r="J346" s="33">
        <f t="shared" si="37"/>
        <v>0.37500000000000006</v>
      </c>
      <c r="K346" s="33">
        <f>IFERROR(IF(H346="","",IF(B346=VLOOKUP(B346,Feriados[],2,0),(H346-D346)-(G346-E346),IF(D346&lt;=$Y$4,(I346-D346)-(G346-E346),(I346-C346)-(F346-E346)))),IF(AND(D346&lt;=$Y$4,F346-E346=$AB$1),(I346-D346)-(F346-E346),IF(D346&lt;$Y$4,(I346-D346)-(G346-E346),(I346-C346)-(F346-E346))))</f>
        <v>0.37500000000000006</v>
      </c>
      <c r="L346" s="40" t="str">
        <f>IF(B346=_xlfn.XLOOKUP(B346,Feriados[FE Oficial],Feriados[FE Talvez],"",0),"",IF(Q346="Compensado","",IF(AND(N346="Sex",D346&lt;$Y$4),($Z$4-D346)+$AB$1-(F346-E346)+(I346-$Z$3),IF(AND(N346="Sex",I346&gt;$Z$3),($AB$1-(F346-E346))+(I346-$Z$3),IF(AND(N346="Sex",E346&lt;&gt;"",D346&lt;$Y$4),($Z$4-D346)+$AB$1-(F346-E346)+(I346-$Z$3),IF(N346="Sáb",(I346-D346)-(G346-E346)-(S346-R346),IF(AND(B346&lt;$T$1,I346&gt;$Z$3),H346-$Z$3,IF(D346&lt;$Y$4,($Z$4-D346)+($AB$1-(F346-E346))+(I346-$Z$8)+(S346-R346),IF(AND(S346&lt;&gt;"",D346&gt;$Z$4),(S346-R346)-($AB$1-(F346-E346)),IF(AND(S346&lt;&gt;"",D346&lt;$Y$4),(S346-R346)-($AB$1-(F346-E346)+($Z$4-D346)),IF(I346&gt;$Z$8,($AB$1-(F346-E346))+(I346-$Z$8),IF(AND(N346="Sex",(F346-E346)&lt;($AB$1-$W$1)),($AB$1-(F346-E346)),IF(AND(O346&gt;($AB$1-$W$1),D346&gt;$Z$4),"",IF(AND(B346&gt;=$T$1,(F346-E346)&gt;($AB$1-$W$1)),"",IF(AND(D346&gt;=$Y$4,I346=$Z$8,S346=""),($AB$1-(F346-E346)),IF(AND(P346&lt;&gt;"",S346&lt;&gt;""),I346-$Z$8,IF(AND(P346&lt;&gt;"",D346&gt;$Y$4),$AB$1-(F346-E346),"")))))))))))))))))</f>
        <v/>
      </c>
      <c r="M346" s="107" t="str">
        <f>IFERROR(IF(H346="","",IF(B346=VLOOKUP(B346,Feriados[],2,0),(H346-D346)-(G346-E346),"")),"")</f>
        <v/>
      </c>
      <c r="N346" s="38" t="str">
        <f t="shared" si="38"/>
        <v>Seg</v>
      </c>
      <c r="O346" s="112">
        <f t="shared" si="39"/>
        <v>4.166666666666663E-2</v>
      </c>
      <c r="P346" s="113" t="str">
        <f>IF(B346=_xlfn.XLOOKUP(B346,Feriados[FE Oficial],Feriados[FE Talvez],"",0),"",IF(B346&lt;$T$1,"",IF(Q346="Consulta","",IF(Q346="Compensado","",IF(N346="Sáb","",IF(S346&lt;&gt;"",(S346-R346)-(($AB$1-O346)-(D346-$Z$4)),IF(O346&gt;$AB$1,O346-$AB$1,IF(C346&gt;$Z$4,C346-$Z$4,IF(AND(N346="Sex",G346&lt;&gt;"",H346=""),$Z$3-G346,IF(AND(G346&lt;&gt;"",H346=""),$Z$3-G346,IF(AND(N346="Sex",H346&lt;$Y$3),$Z$3-H346,IF(AND(N346&lt;&gt;"Sex",H346&gt;$AA$8),"",IF(AND(N346="Sex",H346&gt;$Z$8),"",IF(AND(N346&lt;&gt;"Sex",I346&gt;$Z$8),$Z$8-H346,IF(AND(N346&lt;&gt;"Sex",H346&lt;$Y$8),$Z$8-H346,"")))))))))))))))</f>
        <v/>
      </c>
      <c r="Q346" s="33"/>
      <c r="R346" s="33"/>
      <c r="S346" s="33"/>
    </row>
    <row r="347" spans="1:19" x14ac:dyDescent="0.25">
      <c r="A347" s="115" t="s">
        <v>191</v>
      </c>
      <c r="B347" s="32">
        <v>43915</v>
      </c>
      <c r="C347" s="39">
        <f t="shared" ref="C347:C350" si="40">IF(D347="","",IF(D347&lt;=$Y$4,$Z$4,IF(D347&lt;=$AA$4,$Z$4,D347)))</f>
        <v>0.33333333333333331</v>
      </c>
      <c r="D347" s="33">
        <v>0.33333333333333331</v>
      </c>
      <c r="E347" s="33">
        <v>0.5</v>
      </c>
      <c r="F347" s="39">
        <f t="shared" ref="F347:F350" si="41">IF(G347-E347&lt;=$X$1,G347,E347+$AB$1)</f>
        <v>0.54166666666666663</v>
      </c>
      <c r="G347" s="33">
        <v>0.54166666666666663</v>
      </c>
      <c r="H347" s="33">
        <v>0.75</v>
      </c>
      <c r="I347" s="39">
        <f>IFERROR(IF(B347=VLOOKUP(B347,Feriados[],2,0),H347,IF(N347="Sáb",H347,IF(AND(B347&lt;$T$1,H347&lt;=$AA$3),$Z$3,IF(AND(N347="Sex",H347&gt;$AA$3),H347,IF(H347&lt;=$AA$3,$Z$3,IF(H347&lt;=$AA$8,$Z$8,H347)))))),IF(N347="Sáb",H347,IF(AND(B347&lt;$T$1,H347&lt;=$AA$3),$Z$3,IF(AND(N347="Sex",H347&gt;$AA$3),H347,IF(H347&lt;=$AA$3,$Z$3,IF(H347&lt;=$AA$8,$Z$8,H347))))))</f>
        <v>0.75</v>
      </c>
      <c r="J347" s="33">
        <f t="shared" ref="J347:J350" si="42">IF((H347-D347)-(G347-E347)&lt;$AB$1,"",IF(AND(B347&lt;$T$1,(H347-D347)-(G347-E347)&gt;$Y$2),$Y$2,IF(AND(N347="Sex",(H347-D347)-(G347-E347)&gt;$Y$2),$Y$2,IF((H347-D347)-(G347-E347)&gt;$X$2,$X$2,(H347-D347)-(G347-E347)))))</f>
        <v>0.37500000000000006</v>
      </c>
      <c r="K347" s="33">
        <f>IFERROR(IF(H347="","",IF(B347=VLOOKUP(B347,Feriados[],2,0),(H347-D347)-(G347-E347),IF(D347&lt;=$Y$4,(I347-D347)-(G347-E347),(I347-C347)-(F347-E347)))),IF(AND(D347&lt;=$Y$4,F347-E347=$AB$1),(I347-D347)-(F347-E347),IF(D347&lt;$Y$4,(I347-D347)-(G347-E347),(I347-C347)-(F347-E347))))</f>
        <v>0.37500000000000006</v>
      </c>
      <c r="L347" s="40" t="str">
        <f>IF(B347=_xlfn.XLOOKUP(B347,Feriados[FE Oficial],Feriados[FE Talvez],"",0),"",IF(Q347="Compensado","",IF(AND(N347="Sex",D347&lt;$Y$4),($Z$4-D347)+$AB$1-(F347-E347)+(I347-$Z$3),IF(AND(N347="Sex",I347&gt;$Z$3),($AB$1-(F347-E347))+(I347-$Z$3),IF(AND(N347="Sex",E347&lt;&gt;"",D347&lt;$Y$4),($Z$4-D347)+$AB$1-(F347-E347)+(I347-$Z$3),IF(N347="Sáb",(I347-D347)-(G347-E347)-(S347-R347),IF(AND(B347&lt;$T$1,I347&gt;$Z$3),H347-$Z$3,IF(D347&lt;$Y$4,($Z$4-D347)+($AB$1-(F347-E347))+(I347-$Z$8)+(S347-R347),IF(AND(S347&lt;&gt;"",D347&gt;$Z$4),(S347-R347)-($AB$1-(F347-E347)),IF(AND(S347&lt;&gt;"",D347&lt;$Y$4),(S347-R347)-($AB$1-(F347-E347)+($Z$4-D347)),IF(I347&gt;$Z$8,($AB$1-(F347-E347))+(I347-$Z$8),IF(AND(N347="Sex",(F347-E347)&lt;($AB$1-$W$1)),($AB$1-(F347-E347)),IF(AND(O347&gt;($AB$1-$W$1),D347&gt;$Z$4),"",IF(AND(B347&gt;=$T$1,(F347-E347)&gt;($AB$1-$W$1)),"",IF(AND(D347&gt;=$Y$4,I347=$Z$8,S347=""),($AB$1-(F347-E347)),IF(AND(P347&lt;&gt;"",S347&lt;&gt;""),I347-$Z$8,IF(AND(P347&lt;&gt;"",D347&gt;$Y$4),$AB$1-(F347-E347),"")))))))))))))))))</f>
        <v/>
      </c>
      <c r="M347" s="107" t="str">
        <f>IFERROR(IF(H347="","",IF(B347=VLOOKUP(B347,Feriados[],2,0),(H347-D347)-(G347-E347),"")),"")</f>
        <v/>
      </c>
      <c r="N347" s="38" t="str">
        <f t="shared" ref="N347:N350" si="43">PROPER(TEXT(B347,"DDD"))</f>
        <v>Ter</v>
      </c>
      <c r="O347" s="112">
        <f t="shared" ref="O347:O350" si="44">G347-E347</f>
        <v>4.166666666666663E-2</v>
      </c>
      <c r="P347" s="113" t="str">
        <f>IF(B347=_xlfn.XLOOKUP(B347,Feriados[FE Oficial],Feriados[FE Talvez],"",0),"",IF(B347&lt;$T$1,"",IF(Q347="Consulta","",IF(Q347="Compensado","",IF(N347="Sáb","",IF(S347&lt;&gt;"",(S347-R347)-(($AB$1-O347)-(D347-$Z$4)),IF(O347&gt;$AB$1,O347-$AB$1,IF(C347&gt;$Z$4,C347-$Z$4,IF(AND(N347="Sex",G347&lt;&gt;"",H347=""),$Z$3-G347,IF(AND(G347&lt;&gt;"",H347=""),$Z$3-G347,IF(AND(N347="Sex",H347&lt;$Y$3),$Z$3-H347,IF(AND(N347&lt;&gt;"Sex",H347&gt;$AA$8),"",IF(AND(N347="Sex",H347&gt;$Z$8),"",IF(AND(N347&lt;&gt;"Sex",I347&gt;$Z$8),$Z$8-H347,IF(AND(N347&lt;&gt;"Sex",H347&lt;$Y$8),$Z$8-H347,"")))))))))))))))</f>
        <v/>
      </c>
      <c r="Q347" s="33"/>
      <c r="R347" s="33"/>
      <c r="S347" s="33"/>
    </row>
    <row r="348" spans="1:19" x14ac:dyDescent="0.25">
      <c r="A348" s="115" t="s">
        <v>204</v>
      </c>
      <c r="B348" s="32">
        <v>43915</v>
      </c>
      <c r="C348" s="39">
        <f t="shared" si="40"/>
        <v>0.33333333333333331</v>
      </c>
      <c r="D348" s="33">
        <v>0.33333333333333331</v>
      </c>
      <c r="E348" s="33">
        <v>0.5</v>
      </c>
      <c r="F348" s="39">
        <f t="shared" si="41"/>
        <v>0.54166666666666663</v>
      </c>
      <c r="G348" s="33">
        <v>0.54166666666666663</v>
      </c>
      <c r="H348" s="33">
        <v>0.75</v>
      </c>
      <c r="I348" s="39">
        <f>IFERROR(IF(B348=VLOOKUP(B348,Feriados[],2,0),H348,IF(N348="Sáb",H348,IF(AND(B348&lt;$T$1,H348&lt;=$AA$3),$Z$3,IF(AND(N348="Sex",H348&gt;$AA$3),H348,IF(H348&lt;=$AA$3,$Z$3,IF(H348&lt;=$AA$8,$Z$8,H348)))))),IF(N348="Sáb",H348,IF(AND(B348&lt;$T$1,H348&lt;=$AA$3),$Z$3,IF(AND(N348="Sex",H348&gt;$AA$3),H348,IF(H348&lt;=$AA$3,$Z$3,IF(H348&lt;=$AA$8,$Z$8,H348))))))</f>
        <v>0.75</v>
      </c>
      <c r="J348" s="33">
        <f t="shared" si="42"/>
        <v>0.37500000000000006</v>
      </c>
      <c r="K348" s="33">
        <f>IFERROR(IF(H348="","",IF(B348=VLOOKUP(B348,Feriados[],2,0),(H348-D348)-(G348-E348),IF(D348&lt;=$Y$4,(I348-D348)-(G348-E348),(I348-C348)-(F348-E348)))),IF(AND(D348&lt;=$Y$4,F348-E348=$AB$1),(I348-D348)-(F348-E348),IF(D348&lt;$Y$4,(I348-D348)-(G348-E348),(I348-C348)-(F348-E348))))</f>
        <v>0.37500000000000006</v>
      </c>
      <c r="L348" s="40" t="str">
        <f>IF(B348=_xlfn.XLOOKUP(B348,Feriados[FE Oficial],Feriados[FE Talvez],"",0),"",IF(Q348="Compensado","",IF(AND(N348="Sex",D348&lt;$Y$4),($Z$4-D348)+$AB$1-(F348-E348)+(I348-$Z$3),IF(AND(N348="Sex",I348&gt;$Z$3),($AB$1-(F348-E348))+(I348-$Z$3),IF(AND(N348="Sex",E348&lt;&gt;"",D348&lt;$Y$4),($Z$4-D348)+$AB$1-(F348-E348)+(I348-$Z$3),IF(N348="Sáb",(I348-D348)-(G348-E348)-(S348-R348),IF(AND(B348&lt;$T$1,I348&gt;$Z$3),H348-$Z$3,IF(D348&lt;$Y$4,($Z$4-D348)+($AB$1-(F348-E348))+(I348-$Z$8)+(S348-R348),IF(AND(S348&lt;&gt;"",D348&gt;$Z$4),(S348-R348)-($AB$1-(F348-E348)),IF(AND(S348&lt;&gt;"",D348&lt;$Y$4),(S348-R348)-($AB$1-(F348-E348)+($Z$4-D348)),IF(I348&gt;$Z$8,($AB$1-(F348-E348))+(I348-$Z$8),IF(AND(N348="Sex",(F348-E348)&lt;($AB$1-$W$1)),($AB$1-(F348-E348)),IF(AND(O348&gt;($AB$1-$W$1),D348&gt;$Z$4),"",IF(AND(B348&gt;=$T$1,(F348-E348)&gt;($AB$1-$W$1)),"",IF(AND(D348&gt;=$Y$4,I348=$Z$8,S348=""),($AB$1-(F348-E348)),IF(AND(P348&lt;&gt;"",S348&lt;&gt;""),I348-$Z$8,IF(AND(P348&lt;&gt;"",D348&gt;$Y$4),$AB$1-(F348-E348),"")))))))))))))))))</f>
        <v/>
      </c>
      <c r="M348" s="107" t="str">
        <f>IFERROR(IF(H348="","",IF(B348=VLOOKUP(B348,Feriados[],2,0),(H348-D348)-(G348-E348),"")),"")</f>
        <v/>
      </c>
      <c r="N348" s="38" t="str">
        <f t="shared" si="43"/>
        <v>Ter</v>
      </c>
      <c r="O348" s="112">
        <f t="shared" si="44"/>
        <v>4.166666666666663E-2</v>
      </c>
      <c r="P348" s="113" t="str">
        <f>IF(B348=_xlfn.XLOOKUP(B348,Feriados[FE Oficial],Feriados[FE Talvez],"",0),"",IF(B348&lt;$T$1,"",IF(Q348="Consulta","",IF(Q348="Compensado","",IF(N348="Sáb","",IF(S348&lt;&gt;"",(S348-R348)-(($AB$1-O348)-(D348-$Z$4)),IF(O348&gt;$AB$1,O348-$AB$1,IF(C348&gt;$Z$4,C348-$Z$4,IF(AND(N348="Sex",G348&lt;&gt;"",H348=""),$Z$3-G348,IF(AND(G348&lt;&gt;"",H348=""),$Z$3-G348,IF(AND(N348="Sex",H348&lt;$Y$3),$Z$3-H348,IF(AND(N348&lt;&gt;"Sex",H348&gt;$AA$8),"",IF(AND(N348="Sex",H348&gt;$Z$8),"",IF(AND(N348&lt;&gt;"Sex",I348&gt;$Z$8),$Z$8-H348,IF(AND(N348&lt;&gt;"Sex",H348&lt;$Y$8),$Z$8-H348,"")))))))))))))))</f>
        <v/>
      </c>
      <c r="Q348" s="33"/>
      <c r="R348" s="33"/>
      <c r="S348" s="33"/>
    </row>
    <row r="349" spans="1:19" x14ac:dyDescent="0.25">
      <c r="A349" s="115" t="s">
        <v>206</v>
      </c>
      <c r="B349" s="32">
        <v>43915</v>
      </c>
      <c r="C349" s="39">
        <f t="shared" si="40"/>
        <v>0.33333333333333331</v>
      </c>
      <c r="D349" s="33">
        <v>0.33333333333333331</v>
      </c>
      <c r="E349" s="33">
        <v>0.5</v>
      </c>
      <c r="F349" s="39">
        <f t="shared" si="41"/>
        <v>0.54166666666666663</v>
      </c>
      <c r="G349" s="33">
        <v>0.54166666666666663</v>
      </c>
      <c r="H349" s="33">
        <v>0.75</v>
      </c>
      <c r="I349" s="39">
        <f>IFERROR(IF(B349=VLOOKUP(B349,Feriados[],2,0),H349,IF(N349="Sáb",H349,IF(AND(B349&lt;$T$1,H349&lt;=$AA$3),$Z$3,IF(AND(N349="Sex",H349&gt;$AA$3),H349,IF(H349&lt;=$AA$3,$Z$3,IF(H349&lt;=$AA$8,$Z$8,H349)))))),IF(N349="Sáb",H349,IF(AND(B349&lt;$T$1,H349&lt;=$AA$3),$Z$3,IF(AND(N349="Sex",H349&gt;$AA$3),H349,IF(H349&lt;=$AA$3,$Z$3,IF(H349&lt;=$AA$8,$Z$8,H349))))))</f>
        <v>0.75</v>
      </c>
      <c r="J349" s="33">
        <f t="shared" si="42"/>
        <v>0.37500000000000006</v>
      </c>
      <c r="K349" s="33">
        <f>IFERROR(IF(H349="","",IF(B349=VLOOKUP(B349,Feriados[],2,0),(H349-D349)-(G349-E349),IF(D349&lt;=$Y$4,(I349-D349)-(G349-E349),(I349-C349)-(F349-E349)))),IF(AND(D349&lt;=$Y$4,F349-E349=$AB$1),(I349-D349)-(F349-E349),IF(D349&lt;$Y$4,(I349-D349)-(G349-E349),(I349-C349)-(F349-E349))))</f>
        <v>0.37500000000000006</v>
      </c>
      <c r="L349" s="40" t="str">
        <f>IF(B349=_xlfn.XLOOKUP(B349,Feriados[FE Oficial],Feriados[FE Talvez],"",0),"",IF(Q349="Compensado","",IF(AND(N349="Sex",D349&lt;$Y$4),($Z$4-D349)+$AB$1-(F349-E349)+(I349-$Z$3),IF(AND(N349="Sex",I349&gt;$Z$3),($AB$1-(F349-E349))+(I349-$Z$3),IF(AND(N349="Sex",E349&lt;&gt;"",D349&lt;$Y$4),($Z$4-D349)+$AB$1-(F349-E349)+(I349-$Z$3),IF(N349="Sáb",(I349-D349)-(G349-E349)-(S349-R349),IF(AND(B349&lt;$T$1,I349&gt;$Z$3),H349-$Z$3,IF(D349&lt;$Y$4,($Z$4-D349)+($AB$1-(F349-E349))+(I349-$Z$8)+(S349-R349),IF(AND(S349&lt;&gt;"",D349&gt;$Z$4),(S349-R349)-($AB$1-(F349-E349)),IF(AND(S349&lt;&gt;"",D349&lt;$Y$4),(S349-R349)-($AB$1-(F349-E349)+($Z$4-D349)),IF(I349&gt;$Z$8,($AB$1-(F349-E349))+(I349-$Z$8),IF(AND(N349="Sex",(F349-E349)&lt;($AB$1-$W$1)),($AB$1-(F349-E349)),IF(AND(O349&gt;($AB$1-$W$1),D349&gt;$Z$4),"",IF(AND(B349&gt;=$T$1,(F349-E349)&gt;($AB$1-$W$1)),"",IF(AND(D349&gt;=$Y$4,I349=$Z$8,S349=""),($AB$1-(F349-E349)),IF(AND(P349&lt;&gt;"",S349&lt;&gt;""),I349-$Z$8,IF(AND(P349&lt;&gt;"",D349&gt;$Y$4),$AB$1-(F349-E349),"")))))))))))))))))</f>
        <v/>
      </c>
      <c r="M349" s="107" t="str">
        <f>IFERROR(IF(H349="","",IF(B349=VLOOKUP(B349,Feriados[],2,0),(H349-D349)-(G349-E349),"")),"")</f>
        <v/>
      </c>
      <c r="N349" s="38" t="str">
        <f t="shared" si="43"/>
        <v>Ter</v>
      </c>
      <c r="O349" s="112">
        <f t="shared" si="44"/>
        <v>4.166666666666663E-2</v>
      </c>
      <c r="P349" s="113" t="str">
        <f>IF(B349=_xlfn.XLOOKUP(B349,Feriados[FE Oficial],Feriados[FE Talvez],"",0),"",IF(B349&lt;$T$1,"",IF(Q349="Consulta","",IF(Q349="Compensado","",IF(N349="Sáb","",IF(S349&lt;&gt;"",(S349-R349)-(($AB$1-O349)-(D349-$Z$4)),IF(O349&gt;$AB$1,O349-$AB$1,IF(C349&gt;$Z$4,C349-$Z$4,IF(AND(N349="Sex",G349&lt;&gt;"",H349=""),$Z$3-G349,IF(AND(G349&lt;&gt;"",H349=""),$Z$3-G349,IF(AND(N349="Sex",H349&lt;$Y$3),$Z$3-H349,IF(AND(N349&lt;&gt;"Sex",H349&gt;$AA$8),"",IF(AND(N349="Sex",H349&gt;$Z$8),"",IF(AND(N349&lt;&gt;"Sex",I349&gt;$Z$8),$Z$8-H349,IF(AND(N349&lt;&gt;"Sex",H349&lt;$Y$8),$Z$8-H349,"")))))))))))))))</f>
        <v/>
      </c>
      <c r="Q349" s="33"/>
      <c r="R349" s="33"/>
      <c r="S349" s="33"/>
    </row>
    <row r="350" spans="1:19" x14ac:dyDescent="0.25">
      <c r="A350" s="116" t="s">
        <v>209</v>
      </c>
      <c r="B350" s="32">
        <v>43915</v>
      </c>
      <c r="C350" s="39">
        <f t="shared" si="40"/>
        <v>0.33333333333333331</v>
      </c>
      <c r="D350" s="33">
        <v>0.33333333333333331</v>
      </c>
      <c r="E350" s="33">
        <v>0.51111111111111107</v>
      </c>
      <c r="F350" s="39">
        <f t="shared" si="41"/>
        <v>0.54166666666666663</v>
      </c>
      <c r="G350" s="33">
        <v>0.54166666666666663</v>
      </c>
      <c r="H350" s="33">
        <v>0.75</v>
      </c>
      <c r="I350" s="39">
        <f>IFERROR(IF(B350=VLOOKUP(B350,Feriados[],2,0),H350,IF(N350="Sáb",H350,IF(AND(B350&lt;$T$1,H350&lt;=$AA$3),$Z$3,IF(AND(N350="Sex",H350&gt;$AA$3),H350,IF(H350&lt;=$AA$3,$Z$3,IF(H350&lt;=$AA$8,$Z$8,H350)))))),IF(N350="Sáb",H350,IF(AND(B350&lt;$T$1,H350&lt;=$AA$3),$Z$3,IF(AND(N350="Sex",H350&gt;$AA$3),H350,IF(H350&lt;=$AA$3,$Z$3,IF(H350&lt;=$AA$8,$Z$8,H350))))))</f>
        <v>0.75</v>
      </c>
      <c r="J350" s="33">
        <f t="shared" si="42"/>
        <v>0.375</v>
      </c>
      <c r="K350" s="33">
        <f>IFERROR(IF(H350="","",IF(B350=VLOOKUP(B350,Feriados[],2,0),(H350-D350)-(G350-E350),IF(D350&lt;=$Y$4,(I350-D350)-(G350-E350),(I350-C350)-(F350-E350)))),IF(AND(D350&lt;=$Y$4,F350-E350=$AB$1),(I350-D350)-(F350-E350),IF(D350&lt;$Y$4,(I350-D350)-(G350-E350),(I350-C350)-(F350-E350))))</f>
        <v>0.38611111111111113</v>
      </c>
      <c r="L350" s="40">
        <f>IF(B350=_xlfn.XLOOKUP(B350,Feriados[FE Oficial],Feriados[FE Talvez],"",0),"",IF(Q350="Compensado","",IF(AND(N350="Sex",D350&lt;$Y$4),($Z$4-D350)+$AB$1-(F350-E350)+(I350-$Z$3),IF(AND(N350="Sex",I350&gt;$Z$3),($AB$1-(F350-E350))+(I350-$Z$3),IF(AND(N350="Sex",E350&lt;&gt;"",D350&lt;$Y$4),($Z$4-D350)+$AB$1-(F350-E350)+(I350-$Z$3),IF(N350="Sáb",(I350-D350)-(G350-E350)-(S350-R350),IF(AND(B350&lt;$T$1,I350&gt;$Z$3),H350-$Z$3,IF(D350&lt;$Y$4,($Z$4-D350)+($AB$1-(F350-E350))+(I350-$Z$8)+(S350-R350),IF(AND(S350&lt;&gt;"",D350&gt;$Z$4),(S350-R350)-($AB$1-(F350-E350)),IF(AND(S350&lt;&gt;"",D350&lt;$Y$4),(S350-R350)-($AB$1-(F350-E350)+($Z$4-D350)),IF(I350&gt;$Z$8,($AB$1-(F350-E350))+(I350-$Z$8),IF(AND(N350="Sex",(F350-E350)&lt;($AB$1-$W$1)),($AB$1-(F350-E350)),IF(AND(O350&gt;($AB$1-$W$1),D350&gt;$Z$4),"",IF(AND(B350&gt;=$T$1,(F350-E350)&gt;($AB$1-$W$1)),"",IF(AND(D350&gt;=$Y$4,I350=$Z$8,S350=""),($AB$1-(F350-E350)),IF(AND(P350&lt;&gt;"",S350&lt;&gt;""),I350-$Z$8,IF(AND(P350&lt;&gt;"",D350&gt;$Y$4),$AB$1-(F350-E350),"")))))))))))))))))</f>
        <v>1.1111111111111106E-2</v>
      </c>
      <c r="M350" s="107" t="str">
        <f>IFERROR(IF(H350="","",IF(B350=VLOOKUP(B350,Feriados[],2,0),(H350-D350)-(G350-E350),"")),"")</f>
        <v/>
      </c>
      <c r="N350" s="38" t="str">
        <f t="shared" si="43"/>
        <v>Ter</v>
      </c>
      <c r="O350" s="112">
        <f t="shared" si="44"/>
        <v>3.0555555555555558E-2</v>
      </c>
      <c r="P350" s="113" t="str">
        <f>IF(B350=_xlfn.XLOOKUP(B350,Feriados[FE Oficial],Feriados[FE Talvez],"",0),"",IF(B350&lt;$T$1,"",IF(Q350="Consulta","",IF(Q350="Compensado","",IF(N350="Sáb","",IF(S350&lt;&gt;"",(S350-R350)-(($AB$1-O350)-(D350-$Z$4)),IF(O350&gt;$AB$1,O350-$AB$1,IF(C350&gt;$Z$4,C350-$Z$4,IF(AND(N350="Sex",G350&lt;&gt;"",H350=""),$Z$3-G350,IF(AND(G350&lt;&gt;"",H350=""),$Z$3-G350,IF(AND(N350="Sex",H350&lt;$Y$3),$Z$3-H350,IF(AND(N350&lt;&gt;"Sex",H350&gt;$AA$8),"",IF(AND(N350="Sex",H350&gt;$Z$8),"",IF(AND(N350&lt;&gt;"Sex",I350&gt;$Z$8),$Z$8-H350,IF(AND(N350&lt;&gt;"Sex",H350&lt;$Y$8),$Z$8-H350,"")))))))))))))))</f>
        <v/>
      </c>
      <c r="Q350" s="33"/>
      <c r="R350" s="33"/>
      <c r="S350" s="33"/>
    </row>
    <row r="351" spans="1:19" x14ac:dyDescent="0.25">
      <c r="A351" s="115" t="s">
        <v>191</v>
      </c>
      <c r="B351" s="32">
        <v>43916</v>
      </c>
      <c r="C351" s="39">
        <f t="shared" ref="C351:C353" si="45">IF(D351="","",IF(D351&lt;=$Y$4,$Z$4,IF(D351&lt;=$AA$4,$Z$4,D351)))</f>
        <v>0.33333333333333331</v>
      </c>
      <c r="D351" s="33">
        <v>0.33333333333333331</v>
      </c>
      <c r="E351" s="33">
        <v>0.5</v>
      </c>
      <c r="F351" s="39">
        <f t="shared" ref="F351:F353" si="46">IF(G351-E351&lt;=$X$1,G351,E351+$AB$1)</f>
        <v>0.54166666666666663</v>
      </c>
      <c r="G351" s="33">
        <v>0.54166666666666663</v>
      </c>
      <c r="H351" s="33">
        <v>0.75</v>
      </c>
      <c r="I351" s="39">
        <f>IFERROR(IF(B351=VLOOKUP(B351,Feriados[],2,0),H351,IF(N351="Sáb",H351,IF(AND(B351&lt;$T$1,H351&lt;=$AA$3),$Z$3,IF(AND(N351="Sex",H351&gt;$AA$3),H351,IF(H351&lt;=$AA$3,$Z$3,IF(H351&lt;=$AA$8,$Z$8,H351)))))),IF(N351="Sáb",H351,IF(AND(B351&lt;$T$1,H351&lt;=$AA$3),$Z$3,IF(AND(N351="Sex",H351&gt;$AA$3),H351,IF(H351&lt;=$AA$3,$Z$3,IF(H351&lt;=$AA$8,$Z$8,H351))))))</f>
        <v>0.75</v>
      </c>
      <c r="J351" s="33">
        <f t="shared" ref="J351:J353" si="47">IF((H351-D351)-(G351-E351)&lt;$AB$1,"",IF(AND(B351&lt;$T$1,(H351-D351)-(G351-E351)&gt;$Y$2),$Y$2,IF(AND(N351="Sex",(H351-D351)-(G351-E351)&gt;$Y$2),$Y$2,IF((H351-D351)-(G351-E351)&gt;$X$2,$X$2,(H351-D351)-(G351-E351)))))</f>
        <v>0.37500000000000006</v>
      </c>
      <c r="K351" s="33">
        <f>IFERROR(IF(H351="","",IF(B351=VLOOKUP(B351,Feriados[],2,0),(H351-D351)-(G351-E351),IF(D351&lt;=$Y$4,(I351-D351)-(G351-E351),(I351-C351)-(F351-E351)))),IF(AND(D351&lt;=$Y$4,F351-E351=$AB$1),(I351-D351)-(F351-E351),IF(D351&lt;$Y$4,(I351-D351)-(G351-E351),(I351-C351)-(F351-E351))))</f>
        <v>0.37500000000000006</v>
      </c>
      <c r="L351" s="40" t="str">
        <f>IF(B351=_xlfn.XLOOKUP(B351,Feriados[FE Oficial],Feriados[FE Talvez],"",0),"",IF(Q351="Compensado","",IF(AND(N351="Sex",D351&lt;$Y$4),($Z$4-D351)+$AB$1-(F351-E351)+(I351-$Z$3),IF(AND(N351="Sex",I351&gt;$Z$3),($AB$1-(F351-E351))+(I351-$Z$3),IF(AND(N351="Sex",E351&lt;&gt;"",D351&lt;$Y$4),($Z$4-D351)+$AB$1-(F351-E351)+(I351-$Z$3),IF(N351="Sáb",(I351-D351)-(G351-E351)-(S351-R351),IF(AND(B351&lt;$T$1,I351&gt;$Z$3),H351-$Z$3,IF(D351&lt;$Y$4,($Z$4-D351)+($AB$1-(F351-E351))+(I351-$Z$8)+(S351-R351),IF(AND(S351&lt;&gt;"",D351&gt;$Z$4),(S351-R351)-($AB$1-(F351-E351)),IF(AND(S351&lt;&gt;"",D351&lt;$Y$4),(S351-R351)-($AB$1-(F351-E351)+($Z$4-D351)),IF(I351&gt;$Z$8,($AB$1-(F351-E351))+(I351-$Z$8),IF(AND(N351="Sex",(F351-E351)&lt;($AB$1-$W$1)),($AB$1-(F351-E351)),IF(AND(O351&gt;($AB$1-$W$1),D351&gt;$Z$4),"",IF(AND(B351&gt;=$T$1,(F351-E351)&gt;($AB$1-$W$1)),"",IF(AND(D351&gt;=$Y$4,I351=$Z$8,S351=""),($AB$1-(F351-E351)),IF(AND(P351&lt;&gt;"",S351&lt;&gt;""),I351-$Z$8,IF(AND(P351&lt;&gt;"",D351&gt;$Y$4),$AB$1-(F351-E351),"")))))))))))))))))</f>
        <v/>
      </c>
      <c r="M351" s="107" t="str">
        <f>IFERROR(IF(H351="","",IF(B351=VLOOKUP(B351,Feriados[],2,0),(H351-D351)-(G351-E351),"")),"")</f>
        <v/>
      </c>
      <c r="N351" s="38" t="str">
        <f t="shared" ref="N351:N353" si="48">PROPER(TEXT(B351,"DDD"))</f>
        <v>Qua</v>
      </c>
      <c r="O351" s="112">
        <f t="shared" ref="O351:O353" si="49">G351-E351</f>
        <v>4.166666666666663E-2</v>
      </c>
      <c r="P351" s="113" t="str">
        <f>IF(B351=_xlfn.XLOOKUP(B351,Feriados[FE Oficial],Feriados[FE Talvez],"",0),"",IF(B351&lt;$T$1,"",IF(Q351="Consulta","",IF(Q351="Compensado","",IF(N351="Sáb","",IF(S351&lt;&gt;"",(S351-R351)-(($AB$1-O351)-(D351-$Z$4)),IF(O351&gt;$AB$1,O351-$AB$1,IF(C351&gt;$Z$4,C351-$Z$4,IF(AND(N351="Sex",G351&lt;&gt;"",H351=""),$Z$3-G351,IF(AND(G351&lt;&gt;"",H351=""),$Z$3-G351,IF(AND(N351="Sex",H351&lt;$Y$3),$Z$3-H351,IF(AND(N351&lt;&gt;"Sex",H351&gt;$AA$8),"",IF(AND(N351="Sex",H351&gt;$Z$8),"",IF(AND(N351&lt;&gt;"Sex",I351&gt;$Z$8),$Z$8-H351,IF(AND(N351&lt;&gt;"Sex",H351&lt;$Y$8),$Z$8-H351,"")))))))))))))))</f>
        <v/>
      </c>
      <c r="Q351" s="33"/>
      <c r="R351" s="33"/>
      <c r="S351" s="33"/>
    </row>
    <row r="352" spans="1:19" x14ac:dyDescent="0.25">
      <c r="A352" s="115" t="s">
        <v>206</v>
      </c>
      <c r="B352" s="32">
        <v>43916</v>
      </c>
      <c r="C352" s="39">
        <f t="shared" si="45"/>
        <v>0.33333333333333331</v>
      </c>
      <c r="D352" s="33">
        <v>0.33333333333333331</v>
      </c>
      <c r="E352" s="33">
        <v>0.5</v>
      </c>
      <c r="F352" s="39">
        <f t="shared" si="46"/>
        <v>0.54166666666666663</v>
      </c>
      <c r="G352" s="33">
        <v>0.54166666666666663</v>
      </c>
      <c r="H352" s="33">
        <v>0.75</v>
      </c>
      <c r="I352" s="39">
        <f>IFERROR(IF(B352=VLOOKUP(B352,Feriados[],2,0),H352,IF(N352="Sáb",H352,IF(AND(B352&lt;$T$1,H352&lt;=$AA$3),$Z$3,IF(AND(N352="Sex",H352&gt;$AA$3),H352,IF(H352&lt;=$AA$3,$Z$3,IF(H352&lt;=$AA$8,$Z$8,H352)))))),IF(N352="Sáb",H352,IF(AND(B352&lt;$T$1,H352&lt;=$AA$3),$Z$3,IF(AND(N352="Sex",H352&gt;$AA$3),H352,IF(H352&lt;=$AA$3,$Z$3,IF(H352&lt;=$AA$8,$Z$8,H352))))))</f>
        <v>0.75</v>
      </c>
      <c r="J352" s="33">
        <f t="shared" si="47"/>
        <v>0.37500000000000006</v>
      </c>
      <c r="K352" s="33">
        <f>IFERROR(IF(H352="","",IF(B352=VLOOKUP(B352,Feriados[],2,0),(H352-D352)-(G352-E352),IF(D352&lt;=$Y$4,(I352-D352)-(G352-E352),(I352-C352)-(F352-E352)))),IF(AND(D352&lt;=$Y$4,F352-E352=$AB$1),(I352-D352)-(F352-E352),IF(D352&lt;$Y$4,(I352-D352)-(G352-E352),(I352-C352)-(F352-E352))))</f>
        <v>0.37500000000000006</v>
      </c>
      <c r="L352" s="40" t="str">
        <f>IF(B352=_xlfn.XLOOKUP(B352,Feriados[FE Oficial],Feriados[FE Talvez],"",0),"",IF(Q352="Compensado","",IF(AND(N352="Sex",D352&lt;$Y$4),($Z$4-D352)+$AB$1-(F352-E352)+(I352-$Z$3),IF(AND(N352="Sex",I352&gt;$Z$3),($AB$1-(F352-E352))+(I352-$Z$3),IF(AND(N352="Sex",E352&lt;&gt;"",D352&lt;$Y$4),($Z$4-D352)+$AB$1-(F352-E352)+(I352-$Z$3),IF(N352="Sáb",(I352-D352)-(G352-E352)-(S352-R352),IF(AND(B352&lt;$T$1,I352&gt;$Z$3),H352-$Z$3,IF(D352&lt;$Y$4,($Z$4-D352)+($AB$1-(F352-E352))+(I352-$Z$8)+(S352-R352),IF(AND(S352&lt;&gt;"",D352&gt;$Z$4),(S352-R352)-($AB$1-(F352-E352)),IF(AND(S352&lt;&gt;"",D352&lt;$Y$4),(S352-R352)-($AB$1-(F352-E352)+($Z$4-D352)),IF(I352&gt;$Z$8,($AB$1-(F352-E352))+(I352-$Z$8),IF(AND(N352="Sex",(F352-E352)&lt;($AB$1-$W$1)),($AB$1-(F352-E352)),IF(AND(O352&gt;($AB$1-$W$1),D352&gt;$Z$4),"",IF(AND(B352&gt;=$T$1,(F352-E352)&gt;($AB$1-$W$1)),"",IF(AND(D352&gt;=$Y$4,I352=$Z$8,S352=""),($AB$1-(F352-E352)),IF(AND(P352&lt;&gt;"",S352&lt;&gt;""),I352-$Z$8,IF(AND(P352&lt;&gt;"",D352&gt;$Y$4),$AB$1-(F352-E352),"")))))))))))))))))</f>
        <v/>
      </c>
      <c r="M352" s="107" t="str">
        <f>IFERROR(IF(H352="","",IF(B352=VLOOKUP(B352,Feriados[],2,0),(H352-D352)-(G352-E352),"")),"")</f>
        <v/>
      </c>
      <c r="N352" s="38" t="str">
        <f t="shared" si="48"/>
        <v>Qua</v>
      </c>
      <c r="O352" s="112">
        <f t="shared" si="49"/>
        <v>4.166666666666663E-2</v>
      </c>
      <c r="P352" s="113" t="str">
        <f>IF(B352=_xlfn.XLOOKUP(B352,Feriados[FE Oficial],Feriados[FE Talvez],"",0),"",IF(B352&lt;$T$1,"",IF(Q352="Consulta","",IF(Q352="Compensado","",IF(N352="Sáb","",IF(S352&lt;&gt;"",(S352-R352)-(($AB$1-O352)-(D352-$Z$4)),IF(O352&gt;$AB$1,O352-$AB$1,IF(C352&gt;$Z$4,C352-$Z$4,IF(AND(N352="Sex",G352&lt;&gt;"",H352=""),$Z$3-G352,IF(AND(G352&lt;&gt;"",H352=""),$Z$3-G352,IF(AND(N352="Sex",H352&lt;$Y$3),$Z$3-H352,IF(AND(N352&lt;&gt;"Sex",H352&gt;$AA$8),"",IF(AND(N352="Sex",H352&gt;$Z$8),"",IF(AND(N352&lt;&gt;"Sex",I352&gt;$Z$8),$Z$8-H352,IF(AND(N352&lt;&gt;"Sex",H352&lt;$Y$8),$Z$8-H352,"")))))))))))))))</f>
        <v/>
      </c>
      <c r="Q352" s="33"/>
      <c r="R352" s="33"/>
      <c r="S352" s="33"/>
    </row>
    <row r="353" spans="1:19" x14ac:dyDescent="0.25">
      <c r="A353" s="116" t="s">
        <v>209</v>
      </c>
      <c r="B353" s="32">
        <v>43916</v>
      </c>
      <c r="C353" s="39">
        <f t="shared" si="45"/>
        <v>0.33333333333333331</v>
      </c>
      <c r="D353" s="33">
        <v>0.33333333333333331</v>
      </c>
      <c r="E353" s="33">
        <v>0.51388888888888884</v>
      </c>
      <c r="F353" s="39">
        <f t="shared" si="46"/>
        <v>0.54236111111111107</v>
      </c>
      <c r="G353" s="33">
        <v>0.54236111111111107</v>
      </c>
      <c r="H353" s="33">
        <v>0.75902777777777775</v>
      </c>
      <c r="I353" s="39">
        <f>IFERROR(IF(B353=VLOOKUP(B353,Feriados[],2,0),H353,IF(N353="Sáb",H353,IF(AND(B353&lt;$T$1,H353&lt;=$AA$3),$Z$3,IF(AND(N353="Sex",H353&gt;$AA$3),H353,IF(H353&lt;=$AA$3,$Z$3,IF(H353&lt;=$AA$8,$Z$8,H353)))))),IF(N353="Sáb",H353,IF(AND(B353&lt;$T$1,H353&lt;=$AA$3),$Z$3,IF(AND(N353="Sex",H353&gt;$AA$3),H353,IF(H353&lt;=$AA$3,$Z$3,IF(H353&lt;=$AA$8,$Z$8,H353))))))</f>
        <v>0.75902777777777775</v>
      </c>
      <c r="J353" s="33">
        <f t="shared" si="47"/>
        <v>0.375</v>
      </c>
      <c r="K353" s="33">
        <f>IFERROR(IF(H353="","",IF(B353=VLOOKUP(B353,Feriados[],2,0),(H353-D353)-(G353-E353),IF(D353&lt;=$Y$4,(I353-D353)-(G353-E353),(I353-C353)-(F353-E353)))),IF(AND(D353&lt;=$Y$4,F353-E353=$AB$1),(I353-D353)-(F353-E353),IF(D353&lt;$Y$4,(I353-D353)-(G353-E353),(I353-C353)-(F353-E353))))</f>
        <v>0.3972222222222222</v>
      </c>
      <c r="L353" s="40">
        <f>IF(B353=_xlfn.XLOOKUP(B353,Feriados[FE Oficial],Feriados[FE Talvez],"",0),"",IF(Q353="Compensado","",IF(AND(N353="Sex",D353&lt;$Y$4),($Z$4-D353)+$AB$1-(F353-E353)+(I353-$Z$3),IF(AND(N353="Sex",I353&gt;$Z$3),($AB$1-(F353-E353))+(I353-$Z$3),IF(AND(N353="Sex",E353&lt;&gt;"",D353&lt;$Y$4),($Z$4-D353)+$AB$1-(F353-E353)+(I353-$Z$3),IF(N353="Sáb",(I353-D353)-(G353-E353)-(S353-R353),IF(AND(B353&lt;$T$1,I353&gt;$Z$3),H353-$Z$3,IF(D353&lt;$Y$4,($Z$4-D353)+($AB$1-(F353-E353))+(I353-$Z$8)+(S353-R353),IF(AND(S353&lt;&gt;"",D353&gt;$Z$4),(S353-R353)-($AB$1-(F353-E353)),IF(AND(S353&lt;&gt;"",D353&lt;$Y$4),(S353-R353)-($AB$1-(F353-E353)+($Z$4-D353)),IF(I353&gt;$Z$8,($AB$1-(F353-E353))+(I353-$Z$8),IF(AND(N353="Sex",(F353-E353)&lt;($AB$1-$W$1)),($AB$1-(F353-E353)),IF(AND(O353&gt;($AB$1-$W$1),D353&gt;$Z$4),"",IF(AND(B353&gt;=$T$1,(F353-E353)&gt;($AB$1-$W$1)),"",IF(AND(D353&gt;=$Y$4,I353=$Z$8,S353=""),($AB$1-(F353-E353)),IF(AND(P353&lt;&gt;"",S353&lt;&gt;""),I353-$Z$8,IF(AND(P353&lt;&gt;"",D353&gt;$Y$4),$AB$1-(F353-E353),"")))))))))))))))))</f>
        <v>2.2222222222222178E-2</v>
      </c>
      <c r="M353" s="107" t="str">
        <f>IFERROR(IF(H353="","",IF(B353=VLOOKUP(B353,Feriados[],2,0),(H353-D353)-(G353-E353),"")),"")</f>
        <v/>
      </c>
      <c r="N353" s="38" t="str">
        <f t="shared" si="48"/>
        <v>Qua</v>
      </c>
      <c r="O353" s="112">
        <f t="shared" si="49"/>
        <v>2.8472222222222232E-2</v>
      </c>
      <c r="P353" s="113" t="str">
        <f>IF(B353=_xlfn.XLOOKUP(B353,Feriados[FE Oficial],Feriados[FE Talvez],"",0),"",IF(B353&lt;$T$1,"",IF(Q353="Consulta","",IF(Q353="Compensado","",IF(N353="Sáb","",IF(S353&lt;&gt;"",(S353-R353)-(($AB$1-O353)-(D353-$Z$4)),IF(O353&gt;$AB$1,O353-$AB$1,IF(C353&gt;$Z$4,C353-$Z$4,IF(AND(N353="Sex",G353&lt;&gt;"",H353=""),$Z$3-G353,IF(AND(G353&lt;&gt;"",H353=""),$Z$3-G353,IF(AND(N353="Sex",H353&lt;$Y$3),$Z$3-H353,IF(AND(N353&lt;&gt;"Sex",H353&gt;$AA$8),"",IF(AND(N353="Sex",H353&gt;$Z$8),"",IF(AND(N353&lt;&gt;"Sex",I353&gt;$Z$8),$Z$8-H353,IF(AND(N353&lt;&gt;"Sex",H353&lt;$Y$8),$Z$8-H353,"")))))))))))))))</f>
        <v/>
      </c>
      <c r="Q353" s="33"/>
      <c r="R353" s="33"/>
      <c r="S353" s="33"/>
    </row>
    <row r="354" spans="1:19" x14ac:dyDescent="0.25">
      <c r="A354" s="116" t="s">
        <v>204</v>
      </c>
      <c r="B354" s="32">
        <v>43916</v>
      </c>
      <c r="C354" s="39">
        <f>IF(D354="","",IF(D354&lt;=$Y$4,$Z$4,IF(D354&lt;=$AA$4,$Z$4,D354)))</f>
        <v>0.33333333333333331</v>
      </c>
      <c r="D354" s="33">
        <v>0.33333333333333331</v>
      </c>
      <c r="E354" s="33">
        <v>0.5</v>
      </c>
      <c r="F354" s="39">
        <f>IF(G354-E354&lt;=$X$1,G354,E354+$AB$1)</f>
        <v>0.54166666666666663</v>
      </c>
      <c r="G354" s="33">
        <v>0.54513888888888884</v>
      </c>
      <c r="H354" s="33">
        <v>0.75</v>
      </c>
      <c r="I354" s="39">
        <f>IFERROR(IF(B354=VLOOKUP(B354,Feriados[],2,0),H354,IF(N354="Sáb",H354,IF(AND(B354&lt;$T$1,H354&lt;=$AA$3),$Z$3,IF(AND(N354="Sex",H354&gt;$AA$3),H354,IF(H354&lt;=$AA$3,$Z$3,IF(H354&lt;=$AA$8,$Z$8,H354)))))),IF(N354="Sáb",H354,IF(AND(B354&lt;$T$1,H354&lt;=$AA$3),$Z$3,IF(AND(N354="Sex",H354&gt;$AA$3),H354,IF(H354&lt;=$AA$3,$Z$3,IF(H354&lt;=$AA$8,$Z$8,H354))))))</f>
        <v>0.75</v>
      </c>
      <c r="J354" s="33">
        <f>IF((H354-D354)-(G354-E354)&lt;$AB$1,"",IF(AND(B354&lt;$T$1,(H354-D354)-(G354-E354)&gt;$Y$2),$Y$2,IF(AND(N354="Sex",(H354-D354)-(G354-E354)&gt;$Y$2),$Y$2,IF((H354-D354)-(G354-E354)&gt;$X$2,$X$2,(H354-D354)-(G354-E354)))))</f>
        <v>0.37152777777777785</v>
      </c>
      <c r="K354" s="33">
        <f>IFERROR(IF(H354="","",IF(B354=VLOOKUP(B354,Feriados[],2,0),(H354-D354)-(G354-E354),IF(D354&lt;=$Y$4,(I354-D354)-(G354-E354),(I354-C354)-(F354-E354)))),IF(AND(D354&lt;=$Y$4,F354-E354=$AB$1),(I354-D354)-(F354-E354),IF(D354&lt;$Y$4,(I354-D354)-(G354-E354),(I354-C354)-(F354-E354))))</f>
        <v>0.37500000000000006</v>
      </c>
      <c r="L354" s="40" t="str">
        <f>IF(B354=_xlfn.XLOOKUP(B354,Feriados[FE Oficial],Feriados[FE Talvez],"",0),"",IF(Q354="Compensado","",IF(AND(N354="Sex",D354&lt;$Y$4),($Z$4-D354)+$AB$1-(F354-E354)+(I354-$Z$3),IF(AND(N354="Sex",I354&gt;$Z$3),($AB$1-(F354-E354))+(I354-$Z$3),IF(AND(N354="Sex",E354&lt;&gt;"",D354&lt;$Y$4),($Z$4-D354)+$AB$1-(F354-E354)+(I354-$Z$3),IF(N354="Sáb",(I354-D354)-(G354-E354)-(S354-R354),IF(AND(B354&lt;$T$1,I354&gt;$Z$3),H354-$Z$3,IF(D354&lt;$Y$4,($Z$4-D354)+($AB$1-(F354-E354))+(I354-$Z$8)+(S354-R354),IF(AND(S354&lt;&gt;"",D354&gt;$Z$4),(S354-R354)-($AB$1-(F354-E354)),IF(AND(S354&lt;&gt;"",D354&lt;$Y$4),(S354-R354)-($AB$1-(F354-E354)+($Z$4-D354)),IF(I354&gt;$Z$8,($AB$1-(F354-E354))+(I354-$Z$8),IF(AND(N354="Sex",(F354-E354)&lt;($AB$1-$W$1)),($AB$1-(F354-E354)),IF(AND(O354&gt;($AB$1-$W$1),D354&gt;$Z$4),"",IF(AND(B354&gt;=$T$1,(F354-E354)&gt;($AB$1-$W$1)),"",IF(AND(D354&gt;=$Y$4,I354=$Z$8,S354=""),($AB$1-(F354-E354)),IF(AND(P354&lt;&gt;"",S354&lt;&gt;""),I354-$Z$8,IF(AND(P354&lt;&gt;"",D354&gt;$Y$4),$AB$1-(F354-E354),"")))))))))))))))))</f>
        <v/>
      </c>
      <c r="M354" s="107" t="str">
        <f>IFERROR(IF(H354="","",IF(B354=VLOOKUP(B354,Feriados[],2,0),(H354-D354)-(G354-E354),"")),"")</f>
        <v/>
      </c>
      <c r="N354" s="38" t="str">
        <f>PROPER(TEXT(B354,"DDD"))</f>
        <v>Qua</v>
      </c>
      <c r="O354" s="112">
        <f>G354-E354</f>
        <v>4.513888888888884E-2</v>
      </c>
      <c r="P354" s="113">
        <f>IF(B354=_xlfn.XLOOKUP(B354,Feriados[FE Oficial],Feriados[FE Talvez],"",0),"",IF(B354&lt;$T$1,"",IF(Q354="Consulta","",IF(Q354="Compensado","",IF(N354="Sáb","",IF(S354&lt;&gt;"",(S354-R354)-(($AB$1-O354)-(D354-$Z$4)),IF(O354&gt;$AB$1,O354-$AB$1,IF(C354&gt;$Z$4,C354-$Z$4,IF(AND(N354="Sex",G354&lt;&gt;"",H354=""),$Z$3-G354,IF(AND(G354&lt;&gt;"",H354=""),$Z$3-G354,IF(AND(N354="Sex",H354&lt;$Y$3),$Z$3-H354,IF(AND(N354&lt;&gt;"Sex",H354&gt;$AA$8),"",IF(AND(N354="Sex",H354&gt;$Z$8),"",IF(AND(N354&lt;&gt;"Sex",I354&gt;$Z$8),$Z$8-H354,IF(AND(N354&lt;&gt;"Sex",H354&lt;$Y$8),$Z$8-H354,"")))))))))))))))</f>
        <v>3.4722222222221752E-3</v>
      </c>
      <c r="Q354" s="33"/>
      <c r="R354" s="33"/>
      <c r="S354" s="33"/>
    </row>
    <row r="355" spans="1:19" x14ac:dyDescent="0.25">
      <c r="A355" s="115" t="s">
        <v>191</v>
      </c>
      <c r="B355" s="32">
        <v>43917</v>
      </c>
      <c r="C355" s="39">
        <f t="shared" ref="C355:C358" si="50">IF(D355="","",IF(D355&lt;=$Y$4,$Z$4,IF(D355&lt;=$AA$4,$Z$4,D355)))</f>
        <v>0.5</v>
      </c>
      <c r="D355" s="33">
        <v>0.5</v>
      </c>
      <c r="E355" s="33">
        <v>0.75</v>
      </c>
      <c r="F355" s="39">
        <f t="shared" ref="F355:F358" si="51">IF(G355-E355&lt;=$X$1,G355,E355+$AB$1)</f>
        <v>0</v>
      </c>
      <c r="I355" s="39">
        <f>IFERROR(IF(B355=VLOOKUP(B355,Feriados[],2,0),H355,IF(N355="Sáb",H355,IF(AND(B355&lt;$T$1,H355&lt;=$AA$3),$Z$3,IF(AND(N355="Sex",H355&gt;$AA$3),H355,IF(H355&lt;=$AA$3,$Z$3,IF(H355&lt;=$AA$8,$Z$8,H355)))))),IF(N355="Sáb",H355,IF(AND(B355&lt;$T$1,H355&lt;=$AA$3),$Z$3,IF(AND(N355="Sex",H355&gt;$AA$3),H355,IF(H355&lt;=$AA$3,$Z$3,IF(H355&lt;=$AA$8,$Z$8,H355))))))</f>
        <v>0.70833333333333337</v>
      </c>
      <c r="J355" s="33">
        <f t="shared" ref="J355:J358" si="52">IF((H355-D355)-(G355-E355)&lt;$AB$1,"",IF(AND(B355&lt;$T$1,(H355-D355)-(G355-E355)&gt;$Y$2),$Y$2,IF(AND(N355="Sex",(H355-D355)-(G355-E355)&gt;$Y$2),$Y$2,IF((H355-D355)-(G355-E355)&gt;$X$2,$X$2,(H355-D355)-(G355-E355)))))</f>
        <v>0.25</v>
      </c>
      <c r="K355" s="33" t="str">
        <f>IFERROR(IF(H355="","",IF(B355=VLOOKUP(B355,Feriados[],2,0),(H355-D355)-(G355-E355),IF(D355&lt;=$Y$4,(I355-D355)-(G355-E355),(I355-C355)-(F355-E355)))),IF(AND(D355&lt;=$Y$4,F355-E355=$AB$1),(I355-D355)-(F355-E355),IF(D355&lt;$Y$4,(I355-D355)-(G355-E355),(I355-C355)-(F355-E355))))</f>
        <v/>
      </c>
      <c r="L355" s="40" t="str">
        <f>IF(B355=_xlfn.XLOOKUP(B355,Feriados[FE Oficial],Feriados[FE Talvez],"",0),"",IF(Q355="Compensado","",IF(AND(N355="Sex",D355&lt;$Y$4),($Z$4-D355)+$AB$1-(F355-E355)+(I355-$Z$3),IF(AND(N355="Sex",I355&gt;$Z$3),($AB$1-(F355-E355))+(I355-$Z$3),IF(AND(N355="Sex",E355&lt;&gt;"",D355&lt;$Y$4),($Z$4-D355)+$AB$1-(F355-E355)+(I355-$Z$3),IF(N355="Sáb",(I355-D355)-(G355-E355)-(S355-R355),IF(AND(B355&lt;$T$1,I355&gt;$Z$3),H355-$Z$3,IF(D355&lt;$Y$4,($Z$4-D355)+($AB$1-(F355-E355))+(I355-$Z$8)+(S355-R355),IF(AND(S355&lt;&gt;"",D355&gt;$Z$4),(S355-R355)-($AB$1-(F355-E355)),IF(AND(S355&lt;&gt;"",D355&lt;$Y$4),(S355-R355)-($AB$1-(F355-E355)+($Z$4-D355)),IF(I355&gt;$Z$8,($AB$1-(F355-E355))+(I355-$Z$8),IF(AND(N355="Sex",(F355-E355)&lt;($AB$1-$W$1)),($AB$1-(F355-E355)),IF(AND(O355&gt;($AB$1-$W$1),D355&gt;$Z$4),"",IF(AND(B355&gt;=$T$1,(F355-E355)&gt;($AB$1-$W$1)),"",IF(AND(D355&gt;=$Y$4,I355=$Z$8,S355=""),($AB$1-(F355-E355)),IF(AND(P355&lt;&gt;"",S355&lt;&gt;""),I355-$Z$8,IF(AND(P355&lt;&gt;"",D355&gt;$Y$4),$AB$1-(F355-E355),"")))))))))))))))))</f>
        <v/>
      </c>
      <c r="M355" s="107" t="str">
        <f>IFERROR(IF(H355="","",IF(B355=VLOOKUP(B355,Feriados[],2,0),(H355-D355)-(G355-E355),"")),"")</f>
        <v/>
      </c>
      <c r="N355" s="38" t="str">
        <f t="shared" ref="N355:N358" si="53">PROPER(TEXT(B355,"DDD"))</f>
        <v>Qui</v>
      </c>
      <c r="O355" s="112">
        <f t="shared" ref="O355:O358" si="54">G355-E355</f>
        <v>-0.75</v>
      </c>
      <c r="P355" s="113" t="str">
        <f>IF(B355=_xlfn.XLOOKUP(B355,Feriados[FE Oficial],Feriados[FE Talvez],"",0),"",IF(B355&lt;$T$1,"",IF(Q355="Consulta","",IF(Q355="Compensado","",IF(N355="Sáb","",IF(S355&lt;&gt;"",(S355-R355)-(($AB$1-O355)-(D355-$Z$4)),IF(O355&gt;$AB$1,O355-$AB$1,IF(C355&gt;$Z$4,C355-$Z$4,IF(AND(N355="Sex",G355&lt;&gt;"",H355=""),$Z$3-G355,IF(AND(G355&lt;&gt;"",H355=""),$Z$3-G355,IF(AND(N355="Sex",H355&lt;$Y$3),$Z$3-H355,IF(AND(N355&lt;&gt;"Sex",H355&gt;$AA$8),"",IF(AND(N355="Sex",H355&gt;$Z$8),"",IF(AND(N355&lt;&gt;"Sex",I355&gt;$Z$8),$Z$8-H355,IF(AND(N355&lt;&gt;"Sex",H355&lt;$Y$8),$Z$8-H355,"")))))))))))))))</f>
        <v/>
      </c>
      <c r="Q355" s="33" t="s">
        <v>201</v>
      </c>
      <c r="R355" s="33"/>
      <c r="S355" s="33"/>
    </row>
    <row r="356" spans="1:19" x14ac:dyDescent="0.25">
      <c r="A356" s="115" t="s">
        <v>206</v>
      </c>
      <c r="B356" s="32">
        <v>43917</v>
      </c>
      <c r="C356" s="39">
        <f t="shared" si="50"/>
        <v>0.33333333333333331</v>
      </c>
      <c r="D356" s="33">
        <v>0.32847222222222222</v>
      </c>
      <c r="E356" s="33">
        <v>0.53125</v>
      </c>
      <c r="F356" s="39">
        <f t="shared" si="51"/>
        <v>0.57291666666666663</v>
      </c>
      <c r="G356" s="33">
        <v>0.57916666666666672</v>
      </c>
      <c r="H356" s="33">
        <v>0.75</v>
      </c>
      <c r="I356" s="39">
        <f>IFERROR(IF(B356=VLOOKUP(B356,Feriados[],2,0),H356,IF(N356="Sáb",H356,IF(AND(B356&lt;$T$1,H356&lt;=$AA$3),$Z$3,IF(AND(N356="Sex",H356&gt;$AA$3),H356,IF(H356&lt;=$AA$3,$Z$3,IF(H356&lt;=$AA$8,$Z$8,H356)))))),IF(N356="Sáb",H356,IF(AND(B356&lt;$T$1,H356&lt;=$AA$3),$Z$3,IF(AND(N356="Sex",H356&gt;$AA$3),H356,IF(H356&lt;=$AA$3,$Z$3,IF(H356&lt;=$AA$8,$Z$8,H356))))))</f>
        <v>0.75</v>
      </c>
      <c r="J356" s="33">
        <f t="shared" si="52"/>
        <v>0.37361111111111106</v>
      </c>
      <c r="K356" s="33">
        <f>IFERROR(IF(H356="","",IF(B356=VLOOKUP(B356,Feriados[],2,0),(H356-D356)-(G356-E356),IF(D356&lt;=$Y$4,(I356-D356)-(G356-E356),(I356-C356)-(F356-E356)))),IF(AND(D356&lt;=$Y$4,F356-E356=$AB$1),(I356-D356)-(F356-E356),IF(D356&lt;$Y$4,(I356-D356)-(G356-E356),(I356-C356)-(F356-E356))))</f>
        <v>0.37500000000000006</v>
      </c>
      <c r="L356" s="40" t="str">
        <f>IF(B356=_xlfn.XLOOKUP(B356,Feriados[FE Oficial],Feriados[FE Talvez],"",0),"",IF(Q356="Compensado","",IF(AND(N356="Sex",D356&lt;$Y$4),($Z$4-D356)+$AB$1-(F356-E356)+(I356-$Z$3),IF(AND(N356="Sex",I356&gt;$Z$3),($AB$1-(F356-E356))+(I356-$Z$3),IF(AND(N356="Sex",E356&lt;&gt;"",D356&lt;$Y$4),($Z$4-D356)+$AB$1-(F356-E356)+(I356-$Z$3),IF(N356="Sáb",(I356-D356)-(G356-E356)-(S356-R356),IF(AND(B356&lt;$T$1,I356&gt;$Z$3),H356-$Z$3,IF(D356&lt;$Y$4,($Z$4-D356)+($AB$1-(F356-E356))+(I356-$Z$8)+(S356-R356),IF(AND(S356&lt;&gt;"",D356&gt;$Z$4),(S356-R356)-($AB$1-(F356-E356)),IF(AND(S356&lt;&gt;"",D356&lt;$Y$4),(S356-R356)-($AB$1-(F356-E356)+($Z$4-D356)),IF(I356&gt;$Z$8,($AB$1-(F356-E356))+(I356-$Z$8),IF(AND(N356="Sex",(F356-E356)&lt;($AB$1-$W$1)),($AB$1-(F356-E356)),IF(AND(O356&gt;($AB$1-$W$1),D356&gt;$Z$4),"",IF(AND(B356&gt;=$T$1,(F356-E356)&gt;($AB$1-$W$1)),"",IF(AND(D356&gt;=$Y$4,I356=$Z$8,S356=""),($AB$1-(F356-E356)),IF(AND(P356&lt;&gt;"",S356&lt;&gt;""),I356-$Z$8,IF(AND(P356&lt;&gt;"",D356&gt;$Y$4),$AB$1-(F356-E356),"")))))))))))))))))</f>
        <v/>
      </c>
      <c r="M356" s="107" t="str">
        <f>IFERROR(IF(H356="","",IF(B356=VLOOKUP(B356,Feriados[],2,0),(H356-D356)-(G356-E356),"")),"")</f>
        <v/>
      </c>
      <c r="N356" s="38" t="str">
        <f t="shared" si="53"/>
        <v>Qui</v>
      </c>
      <c r="O356" s="112">
        <f t="shared" si="54"/>
        <v>4.7916666666666718E-2</v>
      </c>
      <c r="P356" s="113">
        <f>IF(B356=_xlfn.XLOOKUP(B356,Feriados[FE Oficial],Feriados[FE Talvez],"",0),"",IF(B356&lt;$T$1,"",IF(Q356="Consulta","",IF(Q356="Compensado","",IF(N356="Sáb","",IF(S356&lt;&gt;"",(S356-R356)-(($AB$1-O356)-(D356-$Z$4)),IF(O356&gt;$AB$1,O356-$AB$1,IF(C356&gt;$Z$4,C356-$Z$4,IF(AND(N356="Sex",G356&lt;&gt;"",H356=""),$Z$3-G356,IF(AND(G356&lt;&gt;"",H356=""),$Z$3-G356,IF(AND(N356="Sex",H356&lt;$Y$3),$Z$3-H356,IF(AND(N356&lt;&gt;"Sex",H356&gt;$AA$8),"",IF(AND(N356="Sex",H356&gt;$Z$8),"",IF(AND(N356&lt;&gt;"Sex",I356&gt;$Z$8),$Z$8-H356,IF(AND(N356&lt;&gt;"Sex",H356&lt;$Y$8),$Z$8-H356,"")))))))))))))))</f>
        <v>6.2500000000000541E-3</v>
      </c>
      <c r="Q356" s="33"/>
      <c r="R356" s="33"/>
      <c r="S356" s="33"/>
    </row>
    <row r="357" spans="1:19" x14ac:dyDescent="0.25">
      <c r="A357" s="115" t="s">
        <v>209</v>
      </c>
      <c r="B357" s="32">
        <v>43917</v>
      </c>
      <c r="C357" s="39">
        <f t="shared" si="50"/>
        <v>0.33333333333333331</v>
      </c>
      <c r="D357" s="33">
        <v>0.33333333333333331</v>
      </c>
      <c r="E357" s="33">
        <v>0.53125</v>
      </c>
      <c r="F357" s="39">
        <f t="shared" si="51"/>
        <v>0.56319444444444444</v>
      </c>
      <c r="G357" s="33">
        <v>0.56319444444444444</v>
      </c>
      <c r="H357" s="33">
        <v>0.75</v>
      </c>
      <c r="I357" s="39">
        <f>IFERROR(IF(B357=VLOOKUP(B357,Feriados[],2,0),H357,IF(N357="Sáb",H357,IF(AND(B357&lt;$T$1,H357&lt;=$AA$3),$Z$3,IF(AND(N357="Sex",H357&gt;$AA$3),H357,IF(H357&lt;=$AA$3,$Z$3,IF(H357&lt;=$AA$8,$Z$8,H357)))))),IF(N357="Sáb",H357,IF(AND(B357&lt;$T$1,H357&lt;=$AA$3),$Z$3,IF(AND(N357="Sex",H357&gt;$AA$3),H357,IF(H357&lt;=$AA$3,$Z$3,IF(H357&lt;=$AA$8,$Z$8,H357))))))</f>
        <v>0.75</v>
      </c>
      <c r="J357" s="33">
        <f t="shared" si="52"/>
        <v>0.375</v>
      </c>
      <c r="K357" s="33">
        <f>IFERROR(IF(H357="","",IF(B357=VLOOKUP(B357,Feriados[],2,0),(H357-D357)-(G357-E357),IF(D357&lt;=$Y$4,(I357-D357)-(G357-E357),(I357-C357)-(F357-E357)))),IF(AND(D357&lt;=$Y$4,F357-E357=$AB$1),(I357-D357)-(F357-E357),IF(D357&lt;$Y$4,(I357-D357)-(G357-E357),(I357-C357)-(F357-E357))))</f>
        <v>0.38472222222222224</v>
      </c>
      <c r="L357" s="40">
        <f>IF(B357=_xlfn.XLOOKUP(B357,Feriados[FE Oficial],Feriados[FE Talvez],"",0),"",IF(Q357="Compensado","",IF(AND(N357="Sex",D357&lt;$Y$4),($Z$4-D357)+$AB$1-(F357-E357)+(I357-$Z$3),IF(AND(N357="Sex",I357&gt;$Z$3),($AB$1-(F357-E357))+(I357-$Z$3),IF(AND(N357="Sex",E357&lt;&gt;"",D357&lt;$Y$4),($Z$4-D357)+$AB$1-(F357-E357)+(I357-$Z$3),IF(N357="Sáb",(I357-D357)-(G357-E357)-(S357-R357),IF(AND(B357&lt;$T$1,I357&gt;$Z$3),H357-$Z$3,IF(D357&lt;$Y$4,($Z$4-D357)+($AB$1-(F357-E357))+(I357-$Z$8)+(S357-R357),IF(AND(S357&lt;&gt;"",D357&gt;$Z$4),(S357-R357)-($AB$1-(F357-E357)),IF(AND(S357&lt;&gt;"",D357&lt;$Y$4),(S357-R357)-($AB$1-(F357-E357)+($Z$4-D357)),IF(I357&gt;$Z$8,($AB$1-(F357-E357))+(I357-$Z$8),IF(AND(N357="Sex",(F357-E357)&lt;($AB$1-$W$1)),($AB$1-(F357-E357)),IF(AND(O357&gt;($AB$1-$W$1),D357&gt;$Z$4),"",IF(AND(B357&gt;=$T$1,(F357-E357)&gt;($AB$1-$W$1)),"",IF(AND(D357&gt;=$Y$4,I357=$Z$8,S357=""),($AB$1-(F357-E357)),IF(AND(P357&lt;&gt;"",S357&lt;&gt;""),I357-$Z$8,IF(AND(P357&lt;&gt;"",D357&gt;$Y$4),$AB$1-(F357-E357),"")))))))))))))))))</f>
        <v>9.7222222222222224E-3</v>
      </c>
      <c r="M357" s="107" t="str">
        <f>IFERROR(IF(H357="","",IF(B357=VLOOKUP(B357,Feriados[],2,0),(H357-D357)-(G357-E357),"")),"")</f>
        <v/>
      </c>
      <c r="N357" s="38" t="str">
        <f t="shared" si="53"/>
        <v>Qui</v>
      </c>
      <c r="O357" s="112">
        <f t="shared" si="54"/>
        <v>3.1944444444444442E-2</v>
      </c>
      <c r="P357" s="113" t="str">
        <f>IF(B357=_xlfn.XLOOKUP(B357,Feriados[FE Oficial],Feriados[FE Talvez],"",0),"",IF(B357&lt;$T$1,"",IF(Q357="Consulta","",IF(Q357="Compensado","",IF(N357="Sáb","",IF(S357&lt;&gt;"",(S357-R357)-(($AB$1-O357)-(D357-$Z$4)),IF(O357&gt;$AB$1,O357-$AB$1,IF(C357&gt;$Z$4,C357-$Z$4,IF(AND(N357="Sex",G357&lt;&gt;"",H357=""),$Z$3-G357,IF(AND(G357&lt;&gt;"",H357=""),$Z$3-G357,IF(AND(N357="Sex",H357&lt;$Y$3),$Z$3-H357,IF(AND(N357&lt;&gt;"Sex",H357&gt;$AA$8),"",IF(AND(N357="Sex",H357&gt;$Z$8),"",IF(AND(N357&lt;&gt;"Sex",I357&gt;$Z$8),$Z$8-H357,IF(AND(N357&lt;&gt;"Sex",H357&lt;$Y$8),$Z$8-H357,"")))))))))))))))</f>
        <v/>
      </c>
      <c r="Q357" s="33"/>
      <c r="R357" s="33"/>
      <c r="S357" s="33"/>
    </row>
    <row r="358" spans="1:19" x14ac:dyDescent="0.25">
      <c r="A358" s="116" t="s">
        <v>204</v>
      </c>
      <c r="B358" s="32">
        <v>43917</v>
      </c>
      <c r="C358" s="39">
        <f t="shared" si="50"/>
        <v>0.33333333333333331</v>
      </c>
      <c r="D358" s="33">
        <v>0.33611111111111114</v>
      </c>
      <c r="E358" s="33">
        <v>0.5</v>
      </c>
      <c r="F358" s="39">
        <f t="shared" si="51"/>
        <v>0.54166666666666663</v>
      </c>
      <c r="G358" s="33">
        <v>0.54166666666666663</v>
      </c>
      <c r="H358" s="33">
        <v>0.75</v>
      </c>
      <c r="I358" s="39">
        <f>IFERROR(IF(B358=VLOOKUP(B358,Feriados[],2,0),H358,IF(N358="Sáb",H358,IF(AND(B358&lt;$T$1,H358&lt;=$AA$3),$Z$3,IF(AND(N358="Sex",H358&gt;$AA$3),H358,IF(H358&lt;=$AA$3,$Z$3,IF(H358&lt;=$AA$8,$Z$8,H358)))))),IF(N358="Sáb",H358,IF(AND(B358&lt;$T$1,H358&lt;=$AA$3),$Z$3,IF(AND(N358="Sex",H358&gt;$AA$3),H358,IF(H358&lt;=$AA$3,$Z$3,IF(H358&lt;=$AA$8,$Z$8,H358))))))</f>
        <v>0.75</v>
      </c>
      <c r="J358" s="33">
        <f t="shared" si="52"/>
        <v>0.37222222222222223</v>
      </c>
      <c r="K358" s="33">
        <f>IFERROR(IF(H358="","",IF(B358=VLOOKUP(B358,Feriados[],2,0),(H358-D358)-(G358-E358),IF(D358&lt;=$Y$4,(I358-D358)-(G358-E358),(I358-C358)-(F358-E358)))),IF(AND(D358&lt;=$Y$4,F358-E358=$AB$1),(I358-D358)-(F358-E358),IF(D358&lt;$Y$4,(I358-D358)-(G358-E358),(I358-C358)-(F358-E358))))</f>
        <v>0.37500000000000006</v>
      </c>
      <c r="L358" s="40" t="str">
        <f>IF(B358=_xlfn.XLOOKUP(B358,Feriados[FE Oficial],Feriados[FE Talvez],"",0),"",IF(Q358="Compensado","",IF(AND(N358="Sex",D358&lt;$Y$4),($Z$4-D358)+$AB$1-(F358-E358)+(I358-$Z$3),IF(AND(N358="Sex",I358&gt;$Z$3),($AB$1-(F358-E358))+(I358-$Z$3),IF(AND(N358="Sex",E358&lt;&gt;"",D358&lt;$Y$4),($Z$4-D358)+$AB$1-(F358-E358)+(I358-$Z$3),IF(N358="Sáb",(I358-D358)-(G358-E358)-(S358-R358),IF(AND(B358&lt;$T$1,I358&gt;$Z$3),H358-$Z$3,IF(D358&lt;$Y$4,($Z$4-D358)+($AB$1-(F358-E358))+(I358-$Z$8)+(S358-R358),IF(AND(S358&lt;&gt;"",D358&gt;$Z$4),(S358-R358)-($AB$1-(F358-E358)),IF(AND(S358&lt;&gt;"",D358&lt;$Y$4),(S358-R358)-($AB$1-(F358-E358)+($Z$4-D358)),IF(I358&gt;$Z$8,($AB$1-(F358-E358))+(I358-$Z$8),IF(AND(N358="Sex",(F358-E358)&lt;($AB$1-$W$1)),($AB$1-(F358-E358)),IF(AND(O358&gt;($AB$1-$W$1),D358&gt;$Z$4),"",IF(AND(B358&gt;=$T$1,(F358-E358)&gt;($AB$1-$W$1)),"",IF(AND(D358&gt;=$Y$4,I358=$Z$8,S358=""),($AB$1-(F358-E358)),IF(AND(P358&lt;&gt;"",S358&lt;&gt;""),I358-$Z$8,IF(AND(P358&lt;&gt;"",D358&gt;$Y$4),$AB$1-(F358-E358),"")))))))))))))))))</f>
        <v/>
      </c>
      <c r="M358" s="107" t="str">
        <f>IFERROR(IF(H358="","",IF(B358=VLOOKUP(B358,Feriados[],2,0),(H358-D358)-(G358-E358),"")),"")</f>
        <v/>
      </c>
      <c r="N358" s="38" t="str">
        <f t="shared" si="53"/>
        <v>Qui</v>
      </c>
      <c r="O358" s="112">
        <f t="shared" si="54"/>
        <v>4.166666666666663E-2</v>
      </c>
      <c r="P358" s="113" t="str">
        <f>IF(B358=_xlfn.XLOOKUP(B358,Feriados[FE Oficial],Feriados[FE Talvez],"",0),"",IF(B358&lt;$T$1,"",IF(Q358="Consulta","",IF(Q358="Compensado","",IF(N358="Sáb","",IF(S358&lt;&gt;"",(S358-R358)-(($AB$1-O358)-(D358-$Z$4)),IF(O358&gt;$AB$1,O358-$AB$1,IF(C358&gt;$Z$4,C358-$Z$4,IF(AND(N358="Sex",G358&lt;&gt;"",H358=""),$Z$3-G358,IF(AND(G358&lt;&gt;"",H358=""),$Z$3-G358,IF(AND(N358="Sex",H358&lt;$Y$3),$Z$3-H358,IF(AND(N358&lt;&gt;"Sex",H358&gt;$AA$8),"",IF(AND(N358="Sex",H358&gt;$Z$8),"",IF(AND(N358&lt;&gt;"Sex",I358&gt;$Z$8),$Z$8-H358,IF(AND(N358&lt;&gt;"Sex",H358&lt;$Y$8),$Z$8-H358,"")))))))))))))))</f>
        <v/>
      </c>
      <c r="Q358" s="33"/>
      <c r="R358" s="33"/>
      <c r="S358" s="33"/>
    </row>
    <row r="359" spans="1:19" x14ac:dyDescent="0.25">
      <c r="A359" s="115" t="s">
        <v>206</v>
      </c>
      <c r="B359" s="32">
        <v>43918</v>
      </c>
      <c r="C359" s="39">
        <f>IF(D359="","",IF(D359&lt;=$Y$4,$Z$4,IF(D359&lt;=$AA$4,$Z$4,D359)))</f>
        <v>0.33333333333333331</v>
      </c>
      <c r="D359" s="33">
        <v>0.32569444444444445</v>
      </c>
      <c r="E359" s="33">
        <v>0.5</v>
      </c>
      <c r="F359" s="39">
        <f>IF(G359-E359&lt;=$X$1,G359,E359+$AB$1)</f>
        <v>0.54166666666666663</v>
      </c>
      <c r="G359" s="33">
        <v>0.54166666666666663</v>
      </c>
      <c r="H359" s="33">
        <v>0.66666666666666663</v>
      </c>
      <c r="I359" s="39">
        <f>IFERROR(IF(B359=VLOOKUP(B359,Feriados[],2,0),H359,IF(N359="Sáb",H359,IF(AND(B359&lt;$T$1,H359&lt;=$AA$3),$Z$3,IF(AND(N359="Sex",H359&gt;$AA$3),H359,IF(H359&lt;=$AA$3,$Z$3,IF(H359&lt;=$AA$8,$Z$8,H359)))))),IF(N359="Sáb",H359,IF(AND(B359&lt;$T$1,H359&lt;=$AA$3),$Z$3,IF(AND(N359="Sex",H359&gt;$AA$3),H359,IF(H359&lt;=$AA$3,$Z$3,IF(H359&lt;=$AA$8,$Z$8,H359))))))</f>
        <v>0.66666666666666663</v>
      </c>
      <c r="J359" s="33">
        <f>IF((H359-D359)-(G359-E359)&lt;$AB$1,"",IF(AND(B359&lt;$T$1,(H359-D359)-(G359-E359)&gt;$Y$2),$Y$2,IF(AND(N359="Sex",(H359-D359)-(G359-E359)&gt;$Y$2),$Y$2,IF((H359-D359)-(G359-E359)&gt;$X$2,$X$2,(H359-D359)-(G359-E359)))))</f>
        <v>0.29930555555555555</v>
      </c>
      <c r="K359" s="33">
        <f>IFERROR(IF(H359="","",IF(B359=VLOOKUP(B359,Feriados[],2,0),(H359-D359)-(G359-E359),IF(D359&lt;=$Y$4,(I359-D359)-(G359-E359),(I359-C359)-(F359-E359)))),IF(AND(D359&lt;=$Y$4,F359-E359=$AB$1),(I359-D359)-(F359-E359),IF(D359&lt;$Y$4,(I359-D359)-(G359-E359),(I359-C359)-(F359-E359))))</f>
        <v>0.29930555555555555</v>
      </c>
      <c r="L359" s="40" t="str">
        <f>IF(B359=_xlfn.XLOOKUP(B359,Feriados[FE Oficial],Feriados[FE Talvez],"",0),"",IF(Q359="Compensado","",IF(AND(N359="Sex",D359&lt;$Y$4),($Z$4-D359)+$AB$1-(F359-E359)+(I359-$Z$3),IF(AND(N359="Sex",I359&gt;$Z$3),($AB$1-(F359-E359))+(I359-$Z$3),IF(AND(N359="Sex",E359&lt;&gt;"",D359&lt;$Y$4),($Z$4-D359)+$AB$1-(F359-E359)+(I359-$Z$3),IF(N359="Sáb",(I359-D359)-(G359-E359)-(S359-R359),IF(AND(B359&lt;$T$1,I359&gt;$Z$3),H359-$Z$3,IF(D359&lt;$Y$4,($Z$4-D359)+($AB$1-(F359-E359))+(I359-$Z$8)+(S359-R359),IF(AND(S359&lt;&gt;"",D359&gt;$Z$4),(S359-R359)-($AB$1-(F359-E359)),IF(AND(S359&lt;&gt;"",D359&lt;$Y$4),(S359-R359)-($AB$1-(F359-E359)+($Z$4-D359)),IF(I359&gt;$Z$8,($AB$1-(F359-E359))+(I359-$Z$8),IF(AND(N359="Sex",(F359-E359)&lt;($AB$1-$W$1)),($AB$1-(F359-E359)),IF(AND(O359&gt;($AB$1-$W$1),D359&gt;$Z$4),"",IF(AND(B359&gt;=$T$1,(F359-E359)&gt;($AB$1-$W$1)),"",IF(AND(D359&gt;=$Y$4,I359=$Z$8,S359=""),($AB$1-(F359-E359)),IF(AND(P359&lt;&gt;"",S359&lt;&gt;""),I359-$Z$8,IF(AND(P359&lt;&gt;"",D359&gt;$Y$4),$AB$1-(F359-E359),"")))))))))))))))))</f>
        <v/>
      </c>
      <c r="M359" s="107">
        <f>IFERROR(IF(H359="","",IF(B359=VLOOKUP(B359,Feriados[],2,0),(H359-D359)-(G359-E359),"")),"")</f>
        <v>0.29930555555555555</v>
      </c>
      <c r="N359" s="38" t="str">
        <f>PROPER(TEXT(B359,"DDD"))</f>
        <v>Sex</v>
      </c>
      <c r="O359" s="112">
        <f>G359-E359</f>
        <v>4.166666666666663E-2</v>
      </c>
      <c r="P359" s="113" t="str">
        <f>IF(B359=_xlfn.XLOOKUP(B359,Feriados[FE Oficial],Feriados[FE Talvez],"",0),"",IF(B359&lt;$T$1,"",IF(Q359="Consulta","",IF(Q359="Compensado","",IF(N359="Sáb","",IF(S359&lt;&gt;"",(S359-R359)-(($AB$1-O359)-(D359-$Z$4)),IF(O359&gt;$AB$1,O359-$AB$1,IF(C359&gt;$Z$4,C359-$Z$4,IF(AND(N359="Sex",G359&lt;&gt;"",H359=""),$Z$3-G359,IF(AND(G359&lt;&gt;"",H359=""),$Z$3-G359,IF(AND(N359="Sex",H359&lt;$Y$3),$Z$3-H359,IF(AND(N359&lt;&gt;"Sex",H359&gt;$AA$8),"",IF(AND(N359="Sex",H359&gt;$Z$8),"",IF(AND(N359&lt;&gt;"Sex",I359&gt;$Z$8),$Z$8-H359,IF(AND(N359&lt;&gt;"Sex",H359&lt;$Y$8),$Z$8-H359,"")))))))))))))))</f>
        <v/>
      </c>
      <c r="Q359" s="33"/>
      <c r="R359" s="33"/>
      <c r="S359" s="33"/>
    </row>
    <row r="360" spans="1:19" x14ac:dyDescent="0.25">
      <c r="A360" s="115" t="s">
        <v>209</v>
      </c>
      <c r="B360" s="32">
        <v>43918</v>
      </c>
      <c r="C360" s="39">
        <f t="shared" ref="C360:C361" si="55">IF(D360="","",IF(D360&lt;=$Y$4,$Z$4,IF(D360&lt;=$AA$4,$Z$4,D360)))</f>
        <v>0.33333333333333331</v>
      </c>
      <c r="D360" s="33">
        <v>0.33333333333333331</v>
      </c>
      <c r="E360" s="33">
        <v>0.5</v>
      </c>
      <c r="F360" s="39">
        <f t="shared" ref="F360:F361" si="56">IF(G360-E360&lt;=$X$1,G360,E360+$AB$1)</f>
        <v>0.54166666666666663</v>
      </c>
      <c r="G360" s="33">
        <v>0.54166666666666663</v>
      </c>
      <c r="H360" s="33">
        <v>0.66666666666666663</v>
      </c>
      <c r="I360" s="39">
        <f>IFERROR(IF(B360=VLOOKUP(B360,Feriados[],2,0),H360,IF(N360="Sáb",H360,IF(AND(B360&lt;$T$1,H360&lt;=$AA$3),$Z$3,IF(AND(N360="Sex",H360&gt;$AA$3),H360,IF(H360&lt;=$AA$3,$Z$3,IF(H360&lt;=$AA$8,$Z$8,H360)))))),IF(N360="Sáb",H360,IF(AND(B360&lt;$T$1,H360&lt;=$AA$3),$Z$3,IF(AND(N360="Sex",H360&gt;$AA$3),H360,IF(H360&lt;=$AA$3,$Z$3,IF(H360&lt;=$AA$8,$Z$8,H360))))))</f>
        <v>0.66666666666666663</v>
      </c>
      <c r="J360" s="33">
        <f t="shared" ref="J360:J361" si="57">IF((H360-D360)-(G360-E360)&lt;$AB$1,"",IF(AND(B360&lt;$T$1,(H360-D360)-(G360-E360)&gt;$Y$2),$Y$2,IF(AND(N360="Sex",(H360-D360)-(G360-E360)&gt;$Y$2),$Y$2,IF((H360-D360)-(G360-E360)&gt;$X$2,$X$2,(H360-D360)-(G360-E360)))))</f>
        <v>0.29166666666666669</v>
      </c>
      <c r="K360" s="33">
        <f>IFERROR(IF(H360="","",IF(B360=VLOOKUP(B360,Feriados[],2,0),(H360-D360)-(G360-E360),IF(D360&lt;=$Y$4,(I360-D360)-(G360-E360),(I360-C360)-(F360-E360)))),IF(AND(D360&lt;=$Y$4,F360-E360=$AB$1),(I360-D360)-(F360-E360),IF(D360&lt;$Y$4,(I360-D360)-(G360-E360),(I360-C360)-(F360-E360))))</f>
        <v>0.29166666666666669</v>
      </c>
      <c r="L360" s="40" t="str">
        <f>IF(B360=_xlfn.XLOOKUP(B360,Feriados[FE Oficial],Feriados[FE Talvez],"",0),"",IF(Q360="Compensado","",IF(AND(N360="Sex",D360&lt;$Y$4),($Z$4-D360)+$AB$1-(F360-E360)+(I360-$Z$3),IF(AND(N360="Sex",I360&gt;$Z$3),($AB$1-(F360-E360))+(I360-$Z$3),IF(AND(N360="Sex",E360&lt;&gt;"",D360&lt;$Y$4),($Z$4-D360)+$AB$1-(F360-E360)+(I360-$Z$3),IF(N360="Sáb",(I360-D360)-(G360-E360)-(S360-R360),IF(AND(B360&lt;$T$1,I360&gt;$Z$3),H360-$Z$3,IF(D360&lt;$Y$4,($Z$4-D360)+($AB$1-(F360-E360))+(I360-$Z$8)+(S360-R360),IF(AND(S360&lt;&gt;"",D360&gt;$Z$4),(S360-R360)-($AB$1-(F360-E360)),IF(AND(S360&lt;&gt;"",D360&lt;$Y$4),(S360-R360)-($AB$1-(F360-E360)+($Z$4-D360)),IF(I360&gt;$Z$8,($AB$1-(F360-E360))+(I360-$Z$8),IF(AND(N360="Sex",(F360-E360)&lt;($AB$1-$W$1)),($AB$1-(F360-E360)),IF(AND(O360&gt;($AB$1-$W$1),D360&gt;$Z$4),"",IF(AND(B360&gt;=$T$1,(F360-E360)&gt;($AB$1-$W$1)),"",IF(AND(D360&gt;=$Y$4,I360=$Z$8,S360=""),($AB$1-(F360-E360)),IF(AND(P360&lt;&gt;"",S360&lt;&gt;""),I360-$Z$8,IF(AND(P360&lt;&gt;"",D360&gt;$Y$4),$AB$1-(F360-E360),"")))))))))))))))))</f>
        <v/>
      </c>
      <c r="M360" s="107">
        <f>IFERROR(IF(H360="","",IF(B360=VLOOKUP(B360,Feriados[],2,0),(H360-D360)-(G360-E360),"")),"")</f>
        <v>0.29166666666666669</v>
      </c>
      <c r="N360" s="38" t="str">
        <f t="shared" ref="N360:N361" si="58">PROPER(TEXT(B360,"DDD"))</f>
        <v>Sex</v>
      </c>
      <c r="O360" s="112">
        <f t="shared" ref="O360:O361" si="59">G360-E360</f>
        <v>4.166666666666663E-2</v>
      </c>
      <c r="P360" s="113" t="str">
        <f>IF(B360=_xlfn.XLOOKUP(B360,Feriados[FE Oficial],Feriados[FE Talvez],"",0),"",IF(B360&lt;$T$1,"",IF(Q360="Consulta","",IF(Q360="Compensado","",IF(N360="Sáb","",IF(S360&lt;&gt;"",(S360-R360)-(($AB$1-O360)-(D360-$Z$4)),IF(O360&gt;$AB$1,O360-$AB$1,IF(C360&gt;$Z$4,C360-$Z$4,IF(AND(N360="Sex",G360&lt;&gt;"",H360=""),$Z$3-G360,IF(AND(G360&lt;&gt;"",H360=""),$Z$3-G360,IF(AND(N360="Sex",H360&lt;$Y$3),$Z$3-H360,IF(AND(N360&lt;&gt;"Sex",H360&gt;$AA$8),"",IF(AND(N360="Sex",H360&gt;$Z$8),"",IF(AND(N360&lt;&gt;"Sex",I360&gt;$Z$8),$Z$8-H360,IF(AND(N360&lt;&gt;"Sex",H360&lt;$Y$8),$Z$8-H360,"")))))))))))))))</f>
        <v/>
      </c>
      <c r="Q360" s="33"/>
      <c r="R360" s="33"/>
      <c r="S360" s="33"/>
    </row>
    <row r="361" spans="1:19" x14ac:dyDescent="0.25">
      <c r="A361" s="116" t="s">
        <v>204</v>
      </c>
      <c r="B361" s="32">
        <v>43918</v>
      </c>
      <c r="C361" s="39">
        <f t="shared" si="55"/>
        <v>0.33333333333333331</v>
      </c>
      <c r="D361" s="33">
        <v>0.33333333333333331</v>
      </c>
      <c r="E361" s="33">
        <v>0.5</v>
      </c>
      <c r="F361" s="39">
        <f t="shared" si="56"/>
        <v>0.54166666666666663</v>
      </c>
      <c r="G361" s="33">
        <v>0.54166666666666663</v>
      </c>
      <c r="H361" s="33">
        <v>0.66666666666666663</v>
      </c>
      <c r="I361" s="39">
        <f>IFERROR(IF(B361=VLOOKUP(B361,Feriados[],2,0),H361,IF(N361="Sáb",H361,IF(AND(B361&lt;$T$1,H361&lt;=$AA$3),$Z$3,IF(AND(N361="Sex",H361&gt;$AA$3),H361,IF(H361&lt;=$AA$3,$Z$3,IF(H361&lt;=$AA$8,$Z$8,H361)))))),IF(N361="Sáb",H361,IF(AND(B361&lt;$T$1,H361&lt;=$AA$3),$Z$3,IF(AND(N361="Sex",H361&gt;$AA$3),H361,IF(H361&lt;=$AA$3,$Z$3,IF(H361&lt;=$AA$8,$Z$8,H361))))))</f>
        <v>0.66666666666666663</v>
      </c>
      <c r="J361" s="33">
        <f t="shared" si="57"/>
        <v>0.29166666666666669</v>
      </c>
      <c r="K361" s="33">
        <f>IFERROR(IF(H361="","",IF(B361=VLOOKUP(B361,Feriados[],2,0),(H361-D361)-(G361-E361),IF(D361&lt;=$Y$4,(I361-D361)-(G361-E361),(I361-C361)-(F361-E361)))),IF(AND(D361&lt;=$Y$4,F361-E361=$AB$1),(I361-D361)-(F361-E361),IF(D361&lt;$Y$4,(I361-D361)-(G361-E361),(I361-C361)-(F361-E361))))</f>
        <v>0.29166666666666669</v>
      </c>
      <c r="L361" s="40" t="str">
        <f>IF(B361=_xlfn.XLOOKUP(B361,Feriados[FE Oficial],Feriados[FE Talvez],"",0),"",IF(Q361="Compensado","",IF(AND(N361="Sex",D361&lt;$Y$4),($Z$4-D361)+$AB$1-(F361-E361)+(I361-$Z$3),IF(AND(N361="Sex",I361&gt;$Z$3),($AB$1-(F361-E361))+(I361-$Z$3),IF(AND(N361="Sex",E361&lt;&gt;"",D361&lt;$Y$4),($Z$4-D361)+$AB$1-(F361-E361)+(I361-$Z$3),IF(N361="Sáb",(I361-D361)-(G361-E361)-(S361-R361),IF(AND(B361&lt;$T$1,I361&gt;$Z$3),H361-$Z$3,IF(D361&lt;$Y$4,($Z$4-D361)+($AB$1-(F361-E361))+(I361-$Z$8)+(S361-R361),IF(AND(S361&lt;&gt;"",D361&gt;$Z$4),(S361-R361)-($AB$1-(F361-E361)),IF(AND(S361&lt;&gt;"",D361&lt;$Y$4),(S361-R361)-($AB$1-(F361-E361)+($Z$4-D361)),IF(I361&gt;$Z$8,($AB$1-(F361-E361))+(I361-$Z$8),IF(AND(N361="Sex",(F361-E361)&lt;($AB$1-$W$1)),($AB$1-(F361-E361)),IF(AND(O361&gt;($AB$1-$W$1),D361&gt;$Z$4),"",IF(AND(B361&gt;=$T$1,(F361-E361)&gt;($AB$1-$W$1)),"",IF(AND(D361&gt;=$Y$4,I361=$Z$8,S361=""),($AB$1-(F361-E361)),IF(AND(P361&lt;&gt;"",S361&lt;&gt;""),I361-$Z$8,IF(AND(P361&lt;&gt;"",D361&gt;$Y$4),$AB$1-(F361-E361),"")))))))))))))))))</f>
        <v/>
      </c>
      <c r="M361" s="107">
        <f>IFERROR(IF(H361="","",IF(B361=VLOOKUP(B361,Feriados[],2,0),(H361-D361)-(G361-E361),"")),"")</f>
        <v>0.29166666666666669</v>
      </c>
      <c r="N361" s="38" t="str">
        <f t="shared" si="58"/>
        <v>Sex</v>
      </c>
      <c r="O361" s="112">
        <f t="shared" si="59"/>
        <v>4.166666666666663E-2</v>
      </c>
      <c r="P361" s="113" t="str">
        <f>IF(B361=_xlfn.XLOOKUP(B361,Feriados[FE Oficial],Feriados[FE Talvez],"",0),"",IF(B361&lt;$T$1,"",IF(Q361="Consulta","",IF(Q361="Compensado","",IF(N361="Sáb","",IF(S361&lt;&gt;"",(S361-R361)-(($AB$1-O361)-(D361-$Z$4)),IF(O361&gt;$AB$1,O361-$AB$1,IF(C361&gt;$Z$4,C361-$Z$4,IF(AND(N361="Sex",G361&lt;&gt;"",H361=""),$Z$3-G361,IF(AND(G361&lt;&gt;"",H361=""),$Z$3-G361,IF(AND(N361="Sex",H361&lt;$Y$3),$Z$3-H361,IF(AND(N361&lt;&gt;"Sex",H361&gt;$AA$8),"",IF(AND(N361="Sex",H361&gt;$Z$8),"",IF(AND(N361&lt;&gt;"Sex",I361&gt;$Z$8),$Z$8-H361,IF(AND(N361&lt;&gt;"Sex",H361&lt;$Y$8),$Z$8-H361,"")))))))))))))))</f>
        <v/>
      </c>
      <c r="Q361" s="33"/>
      <c r="R361" s="33"/>
      <c r="S361" s="33"/>
    </row>
    <row r="362" spans="1:19" x14ac:dyDescent="0.25">
      <c r="A362" s="115" t="s">
        <v>206</v>
      </c>
      <c r="B362" s="32">
        <v>43921</v>
      </c>
      <c r="C362" s="39">
        <f t="shared" ref="C362:C364" si="60">IF(D362="","",IF(D362&lt;=$Y$4,$Z$4,IF(D362&lt;=$AA$4,$Z$4,D362)))</f>
        <v>0.33333333333333331</v>
      </c>
      <c r="D362" s="33">
        <v>0.33333333333333331</v>
      </c>
      <c r="E362" s="33">
        <v>0.5</v>
      </c>
      <c r="F362" s="39">
        <f t="shared" ref="F362:F364" si="61">IF(G362-E362&lt;=$X$1,G362,E362+$AB$1)</f>
        <v>0.54166666666666663</v>
      </c>
      <c r="G362" s="33">
        <v>0.54166666666666663</v>
      </c>
      <c r="H362" s="33">
        <v>0.75</v>
      </c>
      <c r="I362" s="39">
        <f>IFERROR(IF(B362=VLOOKUP(B362,Feriados[],2,0),H362,IF(N362="Sáb",H362,IF(AND(B362&lt;$T$1,H362&lt;=$AA$3),$Z$3,IF(AND(N362="Sex",H362&gt;$AA$3),H362,IF(H362&lt;=$AA$3,$Z$3,IF(H362&lt;=$AA$8,$Z$8,H362)))))),IF(N362="Sáb",H362,IF(AND(B362&lt;$T$1,H362&lt;=$AA$3),$Z$3,IF(AND(N362="Sex",H362&gt;$AA$3),H362,IF(H362&lt;=$AA$3,$Z$3,IF(H362&lt;=$AA$8,$Z$8,H362))))))</f>
        <v>0.75</v>
      </c>
      <c r="J362" s="33">
        <f t="shared" ref="J362:J364" si="62">IF((H362-D362)-(G362-E362)&lt;$AB$1,"",IF(AND(B362&lt;$T$1,(H362-D362)-(G362-E362)&gt;$Y$2),$Y$2,IF(AND(N362="Sex",(H362-D362)-(G362-E362)&gt;$Y$2),$Y$2,IF((H362-D362)-(G362-E362)&gt;$X$2,$X$2,(H362-D362)-(G362-E362)))))</f>
        <v>0.37500000000000006</v>
      </c>
      <c r="K362" s="33">
        <f>IFERROR(IF(H362="","",IF(B362=VLOOKUP(B362,Feriados[],2,0),(H362-D362)-(G362-E362),IF(D362&lt;=$Y$4,(I362-D362)-(G362-E362),(I362-C362)-(F362-E362)))),IF(AND(D362&lt;=$Y$4,F362-E362=$AB$1),(I362-D362)-(F362-E362),IF(D362&lt;$Y$4,(I362-D362)-(G362-E362),(I362-C362)-(F362-E362))))</f>
        <v>0.37500000000000006</v>
      </c>
      <c r="L362" s="40" t="str">
        <f>IF(B362=_xlfn.XLOOKUP(B362,Feriados[FE Oficial],Feriados[FE Talvez],"",0),"",IF(Q362="Compensado","",IF(AND(N362="Sex",D362&lt;$Y$4),($Z$4-D362)+$AB$1-(F362-E362)+(I362-$Z$3),IF(AND(N362="Sex",I362&gt;$Z$3),($AB$1-(F362-E362))+(I362-$Z$3),IF(AND(N362="Sex",E362&lt;&gt;"",D362&lt;$Y$4),($Z$4-D362)+$AB$1-(F362-E362)+(I362-$Z$3),IF(N362="Sáb",(I362-D362)-(G362-E362)-(S362-R362),IF(AND(B362&lt;$T$1,I362&gt;$Z$3),H362-$Z$3,IF(D362&lt;$Y$4,($Z$4-D362)+($AB$1-(F362-E362))+(I362-$Z$8)+(S362-R362),IF(AND(S362&lt;&gt;"",D362&gt;$Z$4),(S362-R362)-($AB$1-(F362-E362)),IF(AND(S362&lt;&gt;"",D362&lt;$Y$4),(S362-R362)-($AB$1-(F362-E362)+($Z$4-D362)),IF(I362&gt;$Z$8,($AB$1-(F362-E362))+(I362-$Z$8),IF(AND(N362="Sex",(F362-E362)&lt;($AB$1-$W$1)),($AB$1-(F362-E362)),IF(AND(O362&gt;($AB$1-$W$1),D362&gt;$Z$4),"",IF(AND(B362&gt;=$T$1,(F362-E362)&gt;($AB$1-$W$1)),"",IF(AND(D362&gt;=$Y$4,I362=$Z$8,S362=""),($AB$1-(F362-E362)),IF(AND(P362&lt;&gt;"",S362&lt;&gt;""),I362-$Z$8,IF(AND(P362&lt;&gt;"",D362&gt;$Y$4),$AB$1-(F362-E362),"")))))))))))))))))</f>
        <v/>
      </c>
      <c r="M362" s="107" t="str">
        <f>IFERROR(IF(H362="","",IF(B362=VLOOKUP(B362,Feriados[],2,0),(H362-D362)-(G362-E362),"")),"")</f>
        <v/>
      </c>
      <c r="N362" s="38" t="str">
        <f t="shared" ref="N362:N364" si="63">PROPER(TEXT(B362,"DDD"))</f>
        <v>Seg</v>
      </c>
      <c r="O362" s="112">
        <f t="shared" ref="O362:O364" si="64">G362-E362</f>
        <v>4.166666666666663E-2</v>
      </c>
      <c r="P362" s="113" t="str">
        <f>IF(B362=_xlfn.XLOOKUP(B362,Feriados[FE Oficial],Feriados[FE Talvez],"",0),"",IF(B362&lt;$T$1,"",IF(Q362="Consulta","",IF(Q362="Compensado","",IF(N362="Sáb","",IF(S362&lt;&gt;"",(S362-R362)-(($AB$1-O362)-(D362-$Z$4)),IF(O362&gt;$AB$1,O362-$AB$1,IF(C362&gt;$Z$4,C362-$Z$4,IF(AND(N362="Sex",G362&lt;&gt;"",H362=""),$Z$3-G362,IF(AND(G362&lt;&gt;"",H362=""),$Z$3-G362,IF(AND(N362="Sex",H362&lt;$Y$3),$Z$3-H362,IF(AND(N362&lt;&gt;"Sex",H362&gt;$AA$8),"",IF(AND(N362="Sex",H362&gt;$Z$8),"",IF(AND(N362&lt;&gt;"Sex",I362&gt;$Z$8),$Z$8-H362,IF(AND(N362&lt;&gt;"Sex",H362&lt;$Y$8),$Z$8-H362,"")))))))))))))))</f>
        <v/>
      </c>
      <c r="Q362" s="33"/>
      <c r="R362" s="33"/>
      <c r="S362" s="33"/>
    </row>
    <row r="363" spans="1:19" x14ac:dyDescent="0.25">
      <c r="A363" s="115" t="s">
        <v>209</v>
      </c>
      <c r="B363" s="32">
        <v>43921</v>
      </c>
      <c r="C363" s="39">
        <f t="shared" si="60"/>
        <v>0.33333333333333331</v>
      </c>
      <c r="D363" s="33">
        <v>0.33333333333333331</v>
      </c>
      <c r="E363" s="33">
        <v>0.5</v>
      </c>
      <c r="F363" s="39">
        <f t="shared" si="61"/>
        <v>0.52847222222222223</v>
      </c>
      <c r="G363" s="33">
        <v>0.52847222222222223</v>
      </c>
      <c r="H363" s="33">
        <v>0.75</v>
      </c>
      <c r="I363" s="39">
        <f>IFERROR(IF(B363=VLOOKUP(B363,Feriados[],2,0),H363,IF(N363="Sáb",H363,IF(AND(B363&lt;$T$1,H363&lt;=$AA$3),$Z$3,IF(AND(N363="Sex",H363&gt;$AA$3),H363,IF(H363&lt;=$AA$3,$Z$3,IF(H363&lt;=$AA$8,$Z$8,H363)))))),IF(N363="Sáb",H363,IF(AND(B363&lt;$T$1,H363&lt;=$AA$3),$Z$3,IF(AND(N363="Sex",H363&gt;$AA$3),H363,IF(H363&lt;=$AA$3,$Z$3,IF(H363&lt;=$AA$8,$Z$8,H363))))))</f>
        <v>0.75</v>
      </c>
      <c r="J363" s="33">
        <f t="shared" si="62"/>
        <v>0.375</v>
      </c>
      <c r="K363" s="33">
        <f>IFERROR(IF(H363="","",IF(B363=VLOOKUP(B363,Feriados[],2,0),(H363-D363)-(G363-E363),IF(D363&lt;=$Y$4,(I363-D363)-(G363-E363),(I363-C363)-(F363-E363)))),IF(AND(D363&lt;=$Y$4,F363-E363=$AB$1),(I363-D363)-(F363-E363),IF(D363&lt;$Y$4,(I363-D363)-(G363-E363),(I363-C363)-(F363-E363))))</f>
        <v>0.38819444444444445</v>
      </c>
      <c r="L363" s="40">
        <f>IF(B363=_xlfn.XLOOKUP(B363,Feriados[FE Oficial],Feriados[FE Talvez],"",0),"",IF(Q363="Compensado","",IF(AND(N363="Sex",D363&lt;$Y$4),($Z$4-D363)+$AB$1-(F363-E363)+(I363-$Z$3),IF(AND(N363="Sex",I363&gt;$Z$3),($AB$1-(F363-E363))+(I363-$Z$3),IF(AND(N363="Sex",E363&lt;&gt;"",D363&lt;$Y$4),($Z$4-D363)+$AB$1-(F363-E363)+(I363-$Z$3),IF(N363="Sáb",(I363-D363)-(G363-E363)-(S363-R363),IF(AND(B363&lt;$T$1,I363&gt;$Z$3),H363-$Z$3,IF(D363&lt;$Y$4,($Z$4-D363)+($AB$1-(F363-E363))+(I363-$Z$8)+(S363-R363),IF(AND(S363&lt;&gt;"",D363&gt;$Z$4),(S363-R363)-($AB$1-(F363-E363)),IF(AND(S363&lt;&gt;"",D363&lt;$Y$4),(S363-R363)-($AB$1-(F363-E363)+($Z$4-D363)),IF(I363&gt;$Z$8,($AB$1-(F363-E363))+(I363-$Z$8),IF(AND(N363="Sex",(F363-E363)&lt;($AB$1-$W$1)),($AB$1-(F363-E363)),IF(AND(O363&gt;($AB$1-$W$1),D363&gt;$Z$4),"",IF(AND(B363&gt;=$T$1,(F363-E363)&gt;($AB$1-$W$1)),"",IF(AND(D363&gt;=$Y$4,I363=$Z$8,S363=""),($AB$1-(F363-E363)),IF(AND(P363&lt;&gt;"",S363&lt;&gt;""),I363-$Z$8,IF(AND(P363&lt;&gt;"",D363&gt;$Y$4),$AB$1-(F363-E363),"")))))))))))))))))</f>
        <v>1.3194444444444432E-2</v>
      </c>
      <c r="M363" s="107" t="str">
        <f>IFERROR(IF(H363="","",IF(B363=VLOOKUP(B363,Feriados[],2,0),(H363-D363)-(G363-E363),"")),"")</f>
        <v/>
      </c>
      <c r="N363" s="38" t="str">
        <f t="shared" si="63"/>
        <v>Seg</v>
      </c>
      <c r="O363" s="112">
        <f t="shared" si="64"/>
        <v>2.8472222222222232E-2</v>
      </c>
      <c r="P363" s="113" t="str">
        <f>IF(B363=_xlfn.XLOOKUP(B363,Feriados[FE Oficial],Feriados[FE Talvez],"",0),"",IF(B363&lt;$T$1,"",IF(Q363="Consulta","",IF(Q363="Compensado","",IF(N363="Sáb","",IF(S363&lt;&gt;"",(S363-R363)-(($AB$1-O363)-(D363-$Z$4)),IF(O363&gt;$AB$1,O363-$AB$1,IF(C363&gt;$Z$4,C363-$Z$4,IF(AND(N363="Sex",G363&lt;&gt;"",H363=""),$Z$3-G363,IF(AND(G363&lt;&gt;"",H363=""),$Z$3-G363,IF(AND(N363="Sex",H363&lt;$Y$3),$Z$3-H363,IF(AND(N363&lt;&gt;"Sex",H363&gt;$AA$8),"",IF(AND(N363="Sex",H363&gt;$Z$8),"",IF(AND(N363&lt;&gt;"Sex",I363&gt;$Z$8),$Z$8-H363,IF(AND(N363&lt;&gt;"Sex",H363&lt;$Y$8),$Z$8-H363,"")))))))))))))))</f>
        <v/>
      </c>
      <c r="Q363" s="33"/>
      <c r="R363" s="33"/>
      <c r="S363" s="33"/>
    </row>
    <row r="364" spans="1:19" x14ac:dyDescent="0.25">
      <c r="A364" s="116" t="s">
        <v>204</v>
      </c>
      <c r="B364" s="32">
        <v>43921</v>
      </c>
      <c r="C364" s="39">
        <f t="shared" si="60"/>
        <v>0.33333333333333331</v>
      </c>
      <c r="D364" s="33">
        <v>0.33333333333333331</v>
      </c>
      <c r="E364" s="33">
        <v>0.5</v>
      </c>
      <c r="F364" s="39">
        <f t="shared" si="61"/>
        <v>0.54166666666666663</v>
      </c>
      <c r="G364" s="33">
        <v>0.54166666666666663</v>
      </c>
      <c r="H364" s="33">
        <v>0.75</v>
      </c>
      <c r="I364" s="39">
        <f>IFERROR(IF(B364=VLOOKUP(B364,Feriados[],2,0),H364,IF(N364="Sáb",H364,IF(AND(B364&lt;$T$1,H364&lt;=$AA$3),$Z$3,IF(AND(N364="Sex",H364&gt;$AA$3),H364,IF(H364&lt;=$AA$3,$Z$3,IF(H364&lt;=$AA$8,$Z$8,H364)))))),IF(N364="Sáb",H364,IF(AND(B364&lt;$T$1,H364&lt;=$AA$3),$Z$3,IF(AND(N364="Sex",H364&gt;$AA$3),H364,IF(H364&lt;=$AA$3,$Z$3,IF(H364&lt;=$AA$8,$Z$8,H364))))))</f>
        <v>0.75</v>
      </c>
      <c r="J364" s="33">
        <f t="shared" si="62"/>
        <v>0.37500000000000006</v>
      </c>
      <c r="K364" s="33">
        <f>IFERROR(IF(H364="","",IF(B364=VLOOKUP(B364,Feriados[],2,0),(H364-D364)-(G364-E364),IF(D364&lt;=$Y$4,(I364-D364)-(G364-E364),(I364-C364)-(F364-E364)))),IF(AND(D364&lt;=$Y$4,F364-E364=$AB$1),(I364-D364)-(F364-E364),IF(D364&lt;$Y$4,(I364-D364)-(G364-E364),(I364-C364)-(F364-E364))))</f>
        <v>0.37500000000000006</v>
      </c>
      <c r="L364" s="40" t="str">
        <f>IF(B364=_xlfn.XLOOKUP(B364,Feriados[FE Oficial],Feriados[FE Talvez],"",0),"",IF(Q364="Compensado","",IF(AND(N364="Sex",D364&lt;$Y$4),($Z$4-D364)+$AB$1-(F364-E364)+(I364-$Z$3),IF(AND(N364="Sex",I364&gt;$Z$3),($AB$1-(F364-E364))+(I364-$Z$3),IF(AND(N364="Sex",E364&lt;&gt;"",D364&lt;$Y$4),($Z$4-D364)+$AB$1-(F364-E364)+(I364-$Z$3),IF(N364="Sáb",(I364-D364)-(G364-E364)-(S364-R364),IF(AND(B364&lt;$T$1,I364&gt;$Z$3),H364-$Z$3,IF(D364&lt;$Y$4,($Z$4-D364)+($AB$1-(F364-E364))+(I364-$Z$8)+(S364-R364),IF(AND(S364&lt;&gt;"",D364&gt;$Z$4),(S364-R364)-($AB$1-(F364-E364)),IF(AND(S364&lt;&gt;"",D364&lt;$Y$4),(S364-R364)-($AB$1-(F364-E364)+($Z$4-D364)),IF(I364&gt;$Z$8,($AB$1-(F364-E364))+(I364-$Z$8),IF(AND(N364="Sex",(F364-E364)&lt;($AB$1-$W$1)),($AB$1-(F364-E364)),IF(AND(O364&gt;($AB$1-$W$1),D364&gt;$Z$4),"",IF(AND(B364&gt;=$T$1,(F364-E364)&gt;($AB$1-$W$1)),"",IF(AND(D364&gt;=$Y$4,I364=$Z$8,S364=""),($AB$1-(F364-E364)),IF(AND(P364&lt;&gt;"",S364&lt;&gt;""),I364-$Z$8,IF(AND(P364&lt;&gt;"",D364&gt;$Y$4),$AB$1-(F364-E364),"")))))))))))))))))</f>
        <v/>
      </c>
      <c r="M364" s="107" t="str">
        <f>IFERROR(IF(H364="","",IF(B364=VLOOKUP(B364,Feriados[],2,0),(H364-D364)-(G364-E364),"")),"")</f>
        <v/>
      </c>
      <c r="N364" s="38" t="str">
        <f t="shared" si="63"/>
        <v>Seg</v>
      </c>
      <c r="O364" s="112">
        <f t="shared" si="64"/>
        <v>4.166666666666663E-2</v>
      </c>
      <c r="P364" s="113" t="str">
        <f>IF(B364=_xlfn.XLOOKUP(B364,Feriados[FE Oficial],Feriados[FE Talvez],"",0),"",IF(B364&lt;$T$1,"",IF(Q364="Consulta","",IF(Q364="Compensado","",IF(N364="Sáb","",IF(S364&lt;&gt;"",(S364-R364)-(($AB$1-O364)-(D364-$Z$4)),IF(O364&gt;$AB$1,O364-$AB$1,IF(C364&gt;$Z$4,C364-$Z$4,IF(AND(N364="Sex",G364&lt;&gt;"",H364=""),$Z$3-G364,IF(AND(G364&lt;&gt;"",H364=""),$Z$3-G364,IF(AND(N364="Sex",H364&lt;$Y$3),$Z$3-H364,IF(AND(N364&lt;&gt;"Sex",H364&gt;$AA$8),"",IF(AND(N364="Sex",H364&gt;$Z$8),"",IF(AND(N364&lt;&gt;"Sex",I364&gt;$Z$8),$Z$8-H364,IF(AND(N364&lt;&gt;"Sex",H364&lt;$Y$8),$Z$8-H364,"")))))))))))))))</f>
        <v/>
      </c>
      <c r="Q364" s="33"/>
      <c r="R364" s="33"/>
      <c r="S364" s="33"/>
    </row>
    <row r="365" spans="1:19" x14ac:dyDescent="0.25">
      <c r="A365" s="116" t="s">
        <v>209</v>
      </c>
      <c r="B365" s="32">
        <v>43922</v>
      </c>
      <c r="C365" s="39">
        <f>IF(D365="","",IF(D365&lt;=$Y$4,$Z$4,IF(D365&lt;=$AA$4,$Z$4,D365)))</f>
        <v>0.33333333333333331</v>
      </c>
      <c r="D365" s="33">
        <v>0.32430555555555557</v>
      </c>
      <c r="F365" s="39">
        <f>IF(G365-E365&lt;=$X$1,G365,E365+$AB$1)</f>
        <v>0</v>
      </c>
      <c r="I365" s="39">
        <f>IFERROR(IF(B365=VLOOKUP(B365,Feriados[],2,0),H365,IF(N365="Sáb",H365,IF(AND(B365&lt;$T$1,H365&lt;=$AA$3),$Z$3,IF(AND(N365="Sex",H365&gt;$AA$3),H365,IF(H365&lt;=$AA$3,$Z$3,IF(H365&lt;=$AA$8,$Z$8,H365)))))),IF(N365="Sáb",H365,IF(AND(B365&lt;$T$1,H365&lt;=$AA$3),$Z$3,IF(AND(N365="Sex",H365&gt;$AA$3),H365,IF(H365&lt;=$AA$3,$Z$3,IF(H365&lt;=$AA$8,$Z$8,H365))))))</f>
        <v>0.70833333333333337</v>
      </c>
      <c r="J365" s="33" t="str">
        <f>IF((H365-D365)-(G365-E365)&lt;$AB$1,"",IF(AND(B365&lt;$T$1,(H365-D365)-(G365-E365)&gt;$Y$2),$Y$2,IF(AND(N365="Sex",(H365-D365)-(G365-E365)&gt;$Y$2),$Y$2,IF((H365-D365)-(G365-E365)&gt;$X$2,$X$2,(H365-D365)-(G365-E365)))))</f>
        <v/>
      </c>
      <c r="K365" s="33" t="str">
        <f>IFERROR(IF(H365="","",IF(B365=VLOOKUP(B365,Feriados[],2,0),(H365-D365)-(G365-E365),IF(D365&lt;=$Y$4,(I365-D365)-(G365-E365),(I365-C365)-(F365-E365)))),IF(AND(D365&lt;=$Y$4,F365-E365=$AB$1),(I365-D365)-(F365-E365),IF(D365&lt;$Y$4,(I365-D365)-(G365-E365),(I365-C365)-(F365-E365))))</f>
        <v/>
      </c>
      <c r="L365" s="40">
        <f>IF(B365=_xlfn.XLOOKUP(B365,Feriados[FE Oficial],Feriados[FE Talvez],"",0),"",IF(Q365="Compensado","",IF(AND(N365="Sex",D365&lt;$Y$4),($Z$4-D365)+$AB$1-(F365-E365)+(I365-$Z$3),IF(AND(N365="Sex",I365&gt;$Z$3),($AB$1-(F365-E365))+(I365-$Z$3),IF(AND(N365="Sex",E365&lt;&gt;"",D365&lt;$Y$4),($Z$4-D365)+$AB$1-(F365-E365)+(I365-$Z$3),IF(N365="Sáb",(I365-D365)-(G365-E365)-(S365-R365),IF(AND(B365&lt;$T$1,I365&gt;$Z$3),H365-$Z$3,IF(D365&lt;$Y$4,($Z$4-D365)+($AB$1-(F365-E365))+(I365-$Z$8)+(S365-R365),IF(AND(S365&lt;&gt;"",D365&gt;$Z$4),(S365-R365)-($AB$1-(F365-E365)),IF(AND(S365&lt;&gt;"",D365&lt;$Y$4),(S365-R365)-($AB$1-(F365-E365)+($Z$4-D365)),IF(I365&gt;$Z$8,($AB$1-(F365-E365))+(I365-$Z$8),IF(AND(N365="Sex",(F365-E365)&lt;($AB$1-$W$1)),($AB$1-(F365-E365)),IF(AND(O365&gt;($AB$1-$W$1),D365&gt;$Z$4),"",IF(AND(B365&gt;=$T$1,(F365-E365)&gt;($AB$1-$W$1)),"",IF(AND(D365&gt;=$Y$4,I365=$Z$8,S365=""),($AB$1-(F365-E365)),IF(AND(P365&lt;&gt;"",S365&lt;&gt;""),I365-$Z$8,IF(AND(P365&lt;&gt;"",D365&gt;$Y$4),$AB$1-(F365-E365),"")))))))))))))))))</f>
        <v>9.0277777777777804E-3</v>
      </c>
      <c r="M365" s="107" t="str">
        <f>IFERROR(IF(H365="","",IF(B365=VLOOKUP(B365,Feriados[],2,0),(H365-D365)-(G365-E365),"")),"")</f>
        <v/>
      </c>
      <c r="N365" s="38" t="str">
        <f>PROPER(TEXT(B365,"DDD"))</f>
        <v>Ter</v>
      </c>
      <c r="O365" s="112">
        <f>G365-E365</f>
        <v>0</v>
      </c>
      <c r="P365" s="113">
        <f>IF(B365=_xlfn.XLOOKUP(B365,Feriados[FE Oficial],Feriados[FE Talvez],"",0),"",IF(B365&lt;$T$1,"",IF(Q365="Consulta","",IF(Q365="Compensado","",IF(N365="Sáb","",IF(S365&lt;&gt;"",(S365-R365)-(($AB$1-O365)-(D365-$Z$4)),IF(O365&gt;$AB$1,O365-$AB$1,IF(C365&gt;$Z$4,C365-$Z$4,IF(AND(N365="Sex",G365&lt;&gt;"",H365=""),$Z$3-G365,IF(AND(G365&lt;&gt;"",H365=""),$Z$3-G365,IF(AND(N365="Sex",H365&lt;$Y$3),$Z$3-H365,IF(AND(N365&lt;&gt;"Sex",H365&gt;$AA$8),"",IF(AND(N365="Sex",H365&gt;$Z$8),"",IF(AND(N365&lt;&gt;"Sex",I365&gt;$Z$8),$Z$8-H365,IF(AND(N365&lt;&gt;"Sex",H365&lt;$Y$8),$Z$8-H365,"")))))))))))))))</f>
        <v>0.75</v>
      </c>
      <c r="Q365" s="33"/>
      <c r="R365" s="33"/>
      <c r="S365" s="33"/>
    </row>
    <row r="366" spans="1:19" x14ac:dyDescent="0.25">
      <c r="A366" s="116" t="s">
        <v>204</v>
      </c>
      <c r="B366" s="32">
        <v>43922</v>
      </c>
      <c r="C366" s="39">
        <f>IF(D366="","",IF(D366&lt;=$Y$4,$Z$4,IF(D366&lt;=$AA$4,$Z$4,D366)))</f>
        <v>0.33333333333333331</v>
      </c>
      <c r="D366" s="33">
        <v>0.33333333333333331</v>
      </c>
      <c r="F366" s="39">
        <f>IF(G366-E366&lt;=$X$1,G366,E366+$AB$1)</f>
        <v>0</v>
      </c>
      <c r="I366" s="39">
        <f>IFERROR(IF(B366=VLOOKUP(B366,Feriados[],2,0),H366,IF(N366="Sáb",H366,IF(AND(B366&lt;$T$1,H366&lt;=$AA$3),$Z$3,IF(AND(N366="Sex",H366&gt;$AA$3),H366,IF(H366&lt;=$AA$3,$Z$3,IF(H366&lt;=$AA$8,$Z$8,H366)))))),IF(N366="Sáb",H366,IF(AND(B366&lt;$T$1,H366&lt;=$AA$3),$Z$3,IF(AND(N366="Sex",H366&gt;$AA$3),H366,IF(H366&lt;=$AA$3,$Z$3,IF(H366&lt;=$AA$8,$Z$8,H366))))))</f>
        <v>0.70833333333333337</v>
      </c>
      <c r="J366" s="33" t="str">
        <f>IF((H366-D366)-(G366-E366)&lt;$AB$1,"",IF(AND(B366&lt;$T$1,(H366-D366)-(G366-E366)&gt;$Y$2),$Y$2,IF(AND(N366="Sex",(H366-D366)-(G366-E366)&gt;$Y$2),$Y$2,IF((H366-D366)-(G366-E366)&gt;$X$2,$X$2,(H366-D366)-(G366-E366)))))</f>
        <v/>
      </c>
      <c r="K366" s="33" t="str">
        <f>IFERROR(IF(H366="","",IF(B366=VLOOKUP(B366,Feriados[],2,0),(H366-D366)-(G366-E366),IF(D366&lt;=$Y$4,(I366-D366)-(G366-E366),(I366-C366)-(F366-E366)))),IF(AND(D366&lt;=$Y$4,F366-E366=$AB$1),(I366-D366)-(F366-E366),IF(D366&lt;$Y$4,(I366-D366)-(G366-E366),(I366-C366)-(F366-E366))))</f>
        <v/>
      </c>
      <c r="L366" s="40">
        <f>IF(B366=_xlfn.XLOOKUP(B366,Feriados[FE Oficial],Feriados[FE Talvez],"",0),"",IF(Q366="Compensado","",IF(AND(N366="Sex",D366&lt;$Y$4),($Z$4-D366)+$AB$1-(F366-E366)+(I366-$Z$3),IF(AND(N366="Sex",I366&gt;$Z$3),($AB$1-(F366-E366))+(I366-$Z$3),IF(AND(N366="Sex",E366&lt;&gt;"",D366&lt;$Y$4),($Z$4-D366)+$AB$1-(F366-E366)+(I366-$Z$3),IF(N366="Sáb",(I366-D366)-(G366-E366)-(S366-R366),IF(AND(B366&lt;$T$1,I366&gt;$Z$3),H366-$Z$3,IF(D366&lt;$Y$4,($Z$4-D366)+($AB$1-(F366-E366))+(I366-$Z$8)+(S366-R366),IF(AND(S366&lt;&gt;"",D366&gt;$Z$4),(S366-R366)-($AB$1-(F366-E366)),IF(AND(S366&lt;&gt;"",D366&lt;$Y$4),(S366-R366)-($AB$1-(F366-E366)+($Z$4-D366)),IF(I366&gt;$Z$8,($AB$1-(F366-E366))+(I366-$Z$8),IF(AND(N366="Sex",(F366-E366)&lt;($AB$1-$W$1)),($AB$1-(F366-E366)),IF(AND(O366&gt;($AB$1-$W$1),D366&gt;$Z$4),"",IF(AND(B366&gt;=$T$1,(F366-E366)&gt;($AB$1-$W$1)),"",IF(AND(D366&gt;=$Y$4,I366=$Z$8,S366=""),($AB$1-(F366-E366)),IF(AND(P366&lt;&gt;"",S366&lt;&gt;""),I366-$Z$8,IF(AND(P366&lt;&gt;"",D366&gt;$Y$4),$AB$1-(F366-E366),"")))))))))))))))))</f>
        <v>4.1666666666666664E-2</v>
      </c>
      <c r="M366" s="107" t="str">
        <f>IFERROR(IF(H366="","",IF(B366=VLOOKUP(B366,Feriados[],2,0),(H366-D366)-(G366-E366),"")),"")</f>
        <v/>
      </c>
      <c r="N366" s="38" t="str">
        <f>PROPER(TEXT(B366,"DDD"))</f>
        <v>Ter</v>
      </c>
      <c r="O366" s="112">
        <f>G366-E366</f>
        <v>0</v>
      </c>
      <c r="P366" s="113">
        <f>IF(B366=_xlfn.XLOOKUP(B366,Feriados[FE Oficial],Feriados[FE Talvez],"",0),"",IF(B366&lt;$T$1,"",IF(Q366="Consulta","",IF(Q366="Compensado","",IF(N366="Sáb","",IF(S366&lt;&gt;"",(S366-R366)-(($AB$1-O366)-(D366-$Z$4)),IF(O366&gt;$AB$1,O366-$AB$1,IF(C366&gt;$Z$4,C366-$Z$4,IF(AND(N366="Sex",G366&lt;&gt;"",H366=""),$Z$3-G366,IF(AND(G366&lt;&gt;"",H366=""),$Z$3-G366,IF(AND(N366="Sex",H366&lt;$Y$3),$Z$3-H366,IF(AND(N366&lt;&gt;"Sex",H366&gt;$AA$8),"",IF(AND(N366="Sex",H366&gt;$Z$8),"",IF(AND(N366&lt;&gt;"Sex",I366&gt;$Z$8),$Z$8-H366,IF(AND(N366&lt;&gt;"Sex",H366&lt;$Y$8),$Z$8-H366,"")))))))))))))))</f>
        <v>0.75</v>
      </c>
      <c r="Q366" s="33"/>
      <c r="R366" s="33"/>
      <c r="S366" s="33"/>
    </row>
    <row r="367" spans="1:19" x14ac:dyDescent="0.25">
      <c r="A367" s="115" t="s">
        <v>206</v>
      </c>
      <c r="B367" s="32">
        <v>43922</v>
      </c>
      <c r="C367" s="39">
        <f>IF(D367="","",IF(D367&lt;=$Y$4,$Z$4,IF(D367&lt;=$AA$4,$Z$4,D367)))</f>
        <v>0.33333333333333331</v>
      </c>
      <c r="D367" s="33">
        <v>0.33333333333333331</v>
      </c>
      <c r="F367" s="39">
        <f>IF(G367-E367&lt;=$X$1,G367,E367+$AB$1)</f>
        <v>0</v>
      </c>
      <c r="I367" s="39">
        <f>IFERROR(IF(B367=VLOOKUP(B367,Feriados[],2,0),H367,IF(N367="Sáb",H367,IF(AND(B367&lt;$T$1,H367&lt;=$AA$3),$Z$3,IF(AND(N367="Sex",H367&gt;$AA$3),H367,IF(H367&lt;=$AA$3,$Z$3,IF(H367&lt;=$AA$8,$Z$8,H367)))))),IF(N367="Sáb",H367,IF(AND(B367&lt;$T$1,H367&lt;=$AA$3),$Z$3,IF(AND(N367="Sex",H367&gt;$AA$3),H367,IF(H367&lt;=$AA$3,$Z$3,IF(H367&lt;=$AA$8,$Z$8,H367))))))</f>
        <v>0.70833333333333337</v>
      </c>
      <c r="J367" s="33" t="str">
        <f>IF((H367-D367)-(G367-E367)&lt;$AB$1,"",IF(AND(B367&lt;$T$1,(H367-D367)-(G367-E367)&gt;$Y$2),$Y$2,IF(AND(N367="Sex",(H367-D367)-(G367-E367)&gt;$Y$2),$Y$2,IF((H367-D367)-(G367-E367)&gt;$X$2,$X$2,(H367-D367)-(G367-E367)))))</f>
        <v/>
      </c>
      <c r="K367" s="33" t="str">
        <f>IFERROR(IF(H367="","",IF(B367=VLOOKUP(B367,Feriados[],2,0),(H367-D367)-(G367-E367),IF(D367&lt;=$Y$4,(I367-D367)-(G367-E367),(I367-C367)-(F367-E367)))),IF(AND(D367&lt;=$Y$4,F367-E367=$AB$1),(I367-D367)-(F367-E367),IF(D367&lt;$Y$4,(I367-D367)-(G367-E367),(I367-C367)-(F367-E367))))</f>
        <v/>
      </c>
      <c r="L367" s="40">
        <f>IF(B367=_xlfn.XLOOKUP(B367,Feriados[FE Oficial],Feriados[FE Talvez],"",0),"",IF(Q367="Compensado","",IF(AND(N367="Sex",D367&lt;$Y$4),($Z$4-D367)+$AB$1-(F367-E367)+(I367-$Z$3),IF(AND(N367="Sex",I367&gt;$Z$3),($AB$1-(F367-E367))+(I367-$Z$3),IF(AND(N367="Sex",E367&lt;&gt;"",D367&lt;$Y$4),($Z$4-D367)+$AB$1-(F367-E367)+(I367-$Z$3),IF(N367="Sáb",(I367-D367)-(G367-E367)-(S367-R367),IF(AND(B367&lt;$T$1,I367&gt;$Z$3),H367-$Z$3,IF(D367&lt;$Y$4,($Z$4-D367)+($AB$1-(F367-E367))+(I367-$Z$8)+(S367-R367),IF(AND(S367&lt;&gt;"",D367&gt;$Z$4),(S367-R367)-($AB$1-(F367-E367)),IF(AND(S367&lt;&gt;"",D367&lt;$Y$4),(S367-R367)-($AB$1-(F367-E367)+($Z$4-D367)),IF(I367&gt;$Z$8,($AB$1-(F367-E367))+(I367-$Z$8),IF(AND(N367="Sex",(F367-E367)&lt;($AB$1-$W$1)),($AB$1-(F367-E367)),IF(AND(O367&gt;($AB$1-$W$1),D367&gt;$Z$4),"",IF(AND(B367&gt;=$T$1,(F367-E367)&gt;($AB$1-$W$1)),"",IF(AND(D367&gt;=$Y$4,I367=$Z$8,S367=""),($AB$1-(F367-E367)),IF(AND(P367&lt;&gt;"",S367&lt;&gt;""),I367-$Z$8,IF(AND(P367&lt;&gt;"",D367&gt;$Y$4),$AB$1-(F367-E367),"")))))))))))))))))</f>
        <v>4.1666666666666664E-2</v>
      </c>
      <c r="M367" s="107" t="str">
        <f>IFERROR(IF(H367="","",IF(B367=VLOOKUP(B367,Feriados[],2,0),(H367-D367)-(G367-E367),"")),"")</f>
        <v/>
      </c>
      <c r="N367" s="38" t="str">
        <f>PROPER(TEXT(B367,"DDD"))</f>
        <v>Ter</v>
      </c>
      <c r="O367" s="112">
        <f>G367-E367</f>
        <v>0</v>
      </c>
      <c r="P367" s="113">
        <f>IF(B367=_xlfn.XLOOKUP(B367,Feriados[FE Oficial],Feriados[FE Talvez],"",0),"",IF(B367&lt;$T$1,"",IF(Q367="Consulta","",IF(Q367="Compensado","",IF(N367="Sáb","",IF(S367&lt;&gt;"",(S367-R367)-(($AB$1-O367)-(D367-$Z$4)),IF(O367&gt;$AB$1,O367-$AB$1,IF(C367&gt;$Z$4,C367-$Z$4,IF(AND(N367="Sex",G367&lt;&gt;"",H367=""),$Z$3-G367,IF(AND(G367&lt;&gt;"",H367=""),$Z$3-G367,IF(AND(N367="Sex",H367&lt;$Y$3),$Z$3-H367,IF(AND(N367&lt;&gt;"Sex",H367&gt;$AA$8),"",IF(AND(N367="Sex",H367&gt;$Z$8),"",IF(AND(N367&lt;&gt;"Sex",I367&gt;$Z$8),$Z$8-H367,IF(AND(N367&lt;&gt;"Sex",H367&lt;$Y$8),$Z$8-H367,"")))))))))))))))</f>
        <v>0.75</v>
      </c>
      <c r="Q367" s="33"/>
      <c r="R367" s="33"/>
      <c r="S367" s="33"/>
    </row>
  </sheetData>
  <dataValidations count="1">
    <dataValidation type="list" allowBlank="1" showInputMessage="1" showErrorMessage="1" sqref="A2:A367" xr:uid="{15145352-2A74-4BFA-BB19-3B80FDD0CCCE}">
      <formula1>INDIRECT("Funcionarios" &amp; "[" &amp; $A$1 &amp; "]")</formula1>
    </dataValidation>
  </dataValidations>
  <pageMargins left="0.511811024" right="0.511811024" top="0.78740157499999996" bottom="0.78740157499999996" header="0.31496062000000002" footer="0.31496062000000002"/>
  <pageSetup paperSize="9" scale="35" orientation="portrait" horizontalDpi="0" verticalDpi="0" r:id="rId1"/>
  <drawing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029AC-9807-42C3-947D-38260EE4118A}">
  <sheetPr codeName="Planilha5"/>
  <dimension ref="A1:F87"/>
  <sheetViews>
    <sheetView workbookViewId="0">
      <selection activeCell="D7" sqref="D7"/>
    </sheetView>
  </sheetViews>
  <sheetFormatPr defaultRowHeight="15" x14ac:dyDescent="0.25"/>
  <cols>
    <col min="1" max="1" width="11.28515625" style="1" customWidth="1"/>
    <col min="2" max="2" width="11.140625" style="1" customWidth="1"/>
    <col min="3" max="3" width="16" style="1" customWidth="1"/>
    <col min="4" max="4" width="40.28515625" style="1" bestFit="1" customWidth="1"/>
    <col min="6" max="6" width="10.7109375" bestFit="1" customWidth="1"/>
  </cols>
  <sheetData>
    <row r="1" spans="1:6" ht="18.75" x14ac:dyDescent="0.25">
      <c r="A1" s="7" t="s">
        <v>16</v>
      </c>
      <c r="B1" s="7"/>
      <c r="C1" s="7"/>
      <c r="D1" s="7"/>
    </row>
    <row r="2" spans="1:6" x14ac:dyDescent="0.25">
      <c r="A2" s="5" t="s">
        <v>17</v>
      </c>
      <c r="B2" s="5" t="s">
        <v>18</v>
      </c>
      <c r="C2" s="5" t="s">
        <v>19</v>
      </c>
      <c r="D2" s="5" t="s">
        <v>20</v>
      </c>
    </row>
    <row r="3" spans="1:6" x14ac:dyDescent="0.25">
      <c r="A3" s="2">
        <f>B3</f>
        <v>43714</v>
      </c>
      <c r="B3" s="3">
        <v>43714</v>
      </c>
      <c r="C3" s="6" t="str">
        <f t="shared" ref="C3:C32" si="0">PROPER(TEXT(B3,"ddd"))</f>
        <v>Qui</v>
      </c>
      <c r="D3" s="1" t="s">
        <v>21</v>
      </c>
      <c r="F3" s="3"/>
    </row>
    <row r="4" spans="1:6" x14ac:dyDescent="0.25">
      <c r="A4" s="2">
        <f>B4</f>
        <v>43715</v>
      </c>
      <c r="B4" s="3">
        <v>43715</v>
      </c>
      <c r="C4" s="6" t="str">
        <f t="shared" si="0"/>
        <v>Sex</v>
      </c>
      <c r="D4" s="1" t="s">
        <v>22</v>
      </c>
      <c r="F4" s="3"/>
    </row>
    <row r="5" spans="1:6" x14ac:dyDescent="0.25">
      <c r="A5" s="2">
        <f>B5</f>
        <v>43749</v>
      </c>
      <c r="B5" s="3">
        <v>43749</v>
      </c>
      <c r="C5" s="6" t="str">
        <f t="shared" si="0"/>
        <v>Qui</v>
      </c>
      <c r="D5" s="1" t="s">
        <v>23</v>
      </c>
      <c r="F5" s="3"/>
    </row>
    <row r="6" spans="1:6" x14ac:dyDescent="0.25">
      <c r="A6" s="2"/>
      <c r="B6" s="3">
        <v>43750</v>
      </c>
      <c r="C6" s="6" t="str">
        <f t="shared" si="0"/>
        <v>Sex</v>
      </c>
      <c r="D6" s="1" t="s">
        <v>24</v>
      </c>
      <c r="F6" s="3"/>
    </row>
    <row r="7" spans="1:6" x14ac:dyDescent="0.25">
      <c r="A7" s="2"/>
      <c r="B7" s="3">
        <v>43760</v>
      </c>
      <c r="C7" s="6" t="str">
        <f t="shared" si="0"/>
        <v>Seg</v>
      </c>
      <c r="D7" s="1" t="s">
        <v>24</v>
      </c>
      <c r="F7" s="3"/>
    </row>
    <row r="8" spans="1:6" x14ac:dyDescent="0.25">
      <c r="A8" s="2">
        <f>B8</f>
        <v>43761</v>
      </c>
      <c r="B8" s="3">
        <v>43761</v>
      </c>
      <c r="C8" s="6" t="str">
        <f t="shared" si="0"/>
        <v>Ter</v>
      </c>
      <c r="D8" s="1" t="s">
        <v>25</v>
      </c>
      <c r="F8" s="3"/>
    </row>
    <row r="9" spans="1:6" x14ac:dyDescent="0.25">
      <c r="A9" s="2"/>
      <c r="B9" s="3">
        <v>43765</v>
      </c>
      <c r="C9" s="6" t="str">
        <f t="shared" si="0"/>
        <v>Sáb</v>
      </c>
      <c r="D9" s="1" t="s">
        <v>26</v>
      </c>
      <c r="F9" s="3"/>
    </row>
    <row r="10" spans="1:6" x14ac:dyDescent="0.25">
      <c r="A10" s="2">
        <f>B10</f>
        <v>43770</v>
      </c>
      <c r="B10" s="3">
        <v>43770</v>
      </c>
      <c r="C10" s="6" t="str">
        <f t="shared" si="0"/>
        <v>Qui</v>
      </c>
      <c r="D10" s="1" t="s">
        <v>27</v>
      </c>
      <c r="F10" s="3"/>
    </row>
    <row r="11" spans="1:6" x14ac:dyDescent="0.25">
      <c r="A11" s="2"/>
      <c r="B11" s="3">
        <v>43771</v>
      </c>
      <c r="C11" s="6" t="str">
        <f t="shared" si="0"/>
        <v>Sex</v>
      </c>
      <c r="D11" s="1" t="s">
        <v>24</v>
      </c>
      <c r="F11" s="3"/>
    </row>
    <row r="12" spans="1:6" x14ac:dyDescent="0.25">
      <c r="A12" s="2">
        <f t="shared" ref="A12:A41" si="1">B12</f>
        <v>43783</v>
      </c>
      <c r="B12" s="3">
        <v>43783</v>
      </c>
      <c r="C12" s="6" t="str">
        <f t="shared" si="0"/>
        <v>Qua</v>
      </c>
      <c r="D12" s="1" t="s">
        <v>28</v>
      </c>
      <c r="F12" s="3"/>
    </row>
    <row r="13" spans="1:6" x14ac:dyDescent="0.25">
      <c r="A13" s="2">
        <f t="shared" si="1"/>
        <v>43788</v>
      </c>
      <c r="B13" s="3">
        <v>43788</v>
      </c>
      <c r="C13" s="6" t="str">
        <f t="shared" si="0"/>
        <v>Seg</v>
      </c>
      <c r="D13" s="1" t="s">
        <v>41</v>
      </c>
      <c r="F13" s="3"/>
    </row>
    <row r="14" spans="1:6" x14ac:dyDescent="0.25">
      <c r="A14" s="2">
        <f t="shared" si="1"/>
        <v>43801</v>
      </c>
      <c r="B14" s="3">
        <v>43801</v>
      </c>
      <c r="C14" s="6" t="str">
        <f t="shared" si="0"/>
        <v>Dom</v>
      </c>
      <c r="D14" s="1" t="s">
        <v>173</v>
      </c>
      <c r="F14" s="3"/>
    </row>
    <row r="15" spans="1:6" x14ac:dyDescent="0.25">
      <c r="A15" s="2">
        <f t="shared" si="1"/>
        <v>43806</v>
      </c>
      <c r="B15" s="3">
        <v>43806</v>
      </c>
      <c r="C15" s="6" t="str">
        <f t="shared" si="0"/>
        <v>Sex</v>
      </c>
      <c r="D15" s="1" t="s">
        <v>29</v>
      </c>
      <c r="F15" s="3"/>
    </row>
    <row r="16" spans="1:6" x14ac:dyDescent="0.25">
      <c r="A16" s="2">
        <f t="shared" si="1"/>
        <v>43808</v>
      </c>
      <c r="B16" s="3">
        <v>43808</v>
      </c>
      <c r="C16" s="6" t="str">
        <f t="shared" si="0"/>
        <v>Dom</v>
      </c>
      <c r="D16" s="1" t="s">
        <v>173</v>
      </c>
      <c r="F16" s="3"/>
    </row>
    <row r="17" spans="1:6" x14ac:dyDescent="0.25">
      <c r="A17" s="2">
        <f t="shared" si="1"/>
        <v>43815</v>
      </c>
      <c r="B17" s="3">
        <v>43815</v>
      </c>
      <c r="C17" s="6" t="str">
        <f t="shared" si="0"/>
        <v>Dom</v>
      </c>
      <c r="D17" s="1" t="s">
        <v>173</v>
      </c>
      <c r="F17" s="3"/>
    </row>
    <row r="18" spans="1:6" x14ac:dyDescent="0.25">
      <c r="A18" s="2">
        <f t="shared" si="1"/>
        <v>43822</v>
      </c>
      <c r="B18" s="3">
        <v>43822</v>
      </c>
      <c r="C18" s="6" t="str">
        <f t="shared" si="0"/>
        <v>Dom</v>
      </c>
      <c r="D18" s="1" t="s">
        <v>174</v>
      </c>
      <c r="F18" s="3"/>
    </row>
    <row r="19" spans="1:6" x14ac:dyDescent="0.25">
      <c r="A19" s="2">
        <f t="shared" si="1"/>
        <v>43823</v>
      </c>
      <c r="B19" s="3">
        <v>43823</v>
      </c>
      <c r="C19" s="6" t="str">
        <f t="shared" si="0"/>
        <v>Seg</v>
      </c>
      <c r="D19" s="1" t="s">
        <v>30</v>
      </c>
      <c r="F19" s="3"/>
    </row>
    <row r="20" spans="1:6" x14ac:dyDescent="0.25">
      <c r="A20" s="2">
        <f t="shared" si="1"/>
        <v>43830</v>
      </c>
      <c r="B20" s="3">
        <v>43830</v>
      </c>
      <c r="C20" s="6" t="str">
        <f t="shared" si="0"/>
        <v>Seg</v>
      </c>
      <c r="D20" s="1" t="s">
        <v>31</v>
      </c>
      <c r="F20" s="3"/>
    </row>
    <row r="21" spans="1:6" x14ac:dyDescent="0.25">
      <c r="A21" s="2">
        <f t="shared" si="1"/>
        <v>43836</v>
      </c>
      <c r="B21" s="3">
        <v>43836</v>
      </c>
      <c r="C21" s="6" t="str">
        <f t="shared" si="0"/>
        <v>Dom</v>
      </c>
      <c r="D21" s="1" t="s">
        <v>173</v>
      </c>
      <c r="F21" s="3"/>
    </row>
    <row r="22" spans="1:6" x14ac:dyDescent="0.25">
      <c r="A22" s="2">
        <f t="shared" si="1"/>
        <v>43843</v>
      </c>
      <c r="B22" s="3">
        <v>43843</v>
      </c>
      <c r="C22" s="6" t="str">
        <f t="shared" si="0"/>
        <v>Dom</v>
      </c>
      <c r="D22" s="1" t="s">
        <v>173</v>
      </c>
      <c r="F22" s="3"/>
    </row>
    <row r="23" spans="1:6" x14ac:dyDescent="0.25">
      <c r="A23" s="2">
        <f t="shared" si="1"/>
        <v>43850</v>
      </c>
      <c r="B23" s="3">
        <v>43850</v>
      </c>
      <c r="C23" s="6" t="str">
        <f t="shared" si="0"/>
        <v>Dom</v>
      </c>
      <c r="D23" s="1" t="s">
        <v>173</v>
      </c>
      <c r="F23" s="3"/>
    </row>
    <row r="24" spans="1:6" x14ac:dyDescent="0.25">
      <c r="A24" s="2">
        <f t="shared" si="1"/>
        <v>43857</v>
      </c>
      <c r="B24" s="3">
        <v>43857</v>
      </c>
      <c r="C24" s="6" t="str">
        <f t="shared" si="0"/>
        <v>Dom</v>
      </c>
      <c r="D24" s="1" t="s">
        <v>173</v>
      </c>
      <c r="F24" s="3"/>
    </row>
    <row r="25" spans="1:6" x14ac:dyDescent="0.25">
      <c r="A25" s="2">
        <f t="shared" si="1"/>
        <v>43864</v>
      </c>
      <c r="B25" s="3">
        <v>43864</v>
      </c>
      <c r="C25" s="6" t="str">
        <f t="shared" si="0"/>
        <v>Dom</v>
      </c>
      <c r="D25" s="1" t="s">
        <v>173</v>
      </c>
      <c r="F25" s="3"/>
    </row>
    <row r="26" spans="1:6" x14ac:dyDescent="0.25">
      <c r="A26" s="2">
        <f t="shared" si="1"/>
        <v>43871</v>
      </c>
      <c r="B26" s="3">
        <v>43871</v>
      </c>
      <c r="C26" s="6" t="str">
        <f t="shared" si="0"/>
        <v>Dom</v>
      </c>
      <c r="D26" s="1" t="s">
        <v>32</v>
      </c>
      <c r="F26" s="3"/>
    </row>
    <row r="27" spans="1:6" x14ac:dyDescent="0.25">
      <c r="A27" s="2">
        <f t="shared" si="1"/>
        <v>43871</v>
      </c>
      <c r="B27" s="3">
        <v>43871</v>
      </c>
      <c r="C27" s="6" t="str">
        <f t="shared" si="0"/>
        <v>Dom</v>
      </c>
      <c r="D27" s="1" t="s">
        <v>173</v>
      </c>
      <c r="F27" s="3"/>
    </row>
    <row r="28" spans="1:6" x14ac:dyDescent="0.25">
      <c r="A28" s="2">
        <f t="shared" si="1"/>
        <v>43873</v>
      </c>
      <c r="B28" s="3">
        <v>43873</v>
      </c>
      <c r="C28" s="6" t="str">
        <f t="shared" si="0"/>
        <v>Ter</v>
      </c>
      <c r="D28" s="1" t="s">
        <v>32</v>
      </c>
      <c r="F28" s="3"/>
    </row>
    <row r="29" spans="1:6" x14ac:dyDescent="0.25">
      <c r="A29" s="2">
        <f t="shared" si="1"/>
        <v>43874</v>
      </c>
      <c r="B29" s="3">
        <v>43874</v>
      </c>
      <c r="C29" s="6" t="str">
        <f t="shared" si="0"/>
        <v>Qua</v>
      </c>
      <c r="D29" s="1" t="s">
        <v>33</v>
      </c>
      <c r="F29" s="3"/>
    </row>
    <row r="30" spans="1:6" x14ac:dyDescent="0.25">
      <c r="A30" s="2">
        <f t="shared" si="1"/>
        <v>43878</v>
      </c>
      <c r="B30" s="3">
        <v>43878</v>
      </c>
      <c r="C30" s="6" t="str">
        <f t="shared" si="0"/>
        <v>Dom</v>
      </c>
      <c r="D30" s="1" t="s">
        <v>173</v>
      </c>
      <c r="F30" s="3"/>
    </row>
    <row r="31" spans="1:6" x14ac:dyDescent="0.25">
      <c r="A31" s="2">
        <f t="shared" si="1"/>
        <v>43885</v>
      </c>
      <c r="B31" s="3">
        <v>43885</v>
      </c>
      <c r="C31" s="6" t="str">
        <f t="shared" si="0"/>
        <v>Dom</v>
      </c>
      <c r="D31" s="1" t="s">
        <v>173</v>
      </c>
      <c r="F31" s="3"/>
    </row>
    <row r="32" spans="1:6" x14ac:dyDescent="0.25">
      <c r="A32" s="2">
        <f t="shared" si="1"/>
        <v>43892</v>
      </c>
      <c r="B32" s="3">
        <v>43892</v>
      </c>
      <c r="C32" s="6" t="str">
        <f t="shared" si="0"/>
        <v>Dom</v>
      </c>
      <c r="D32" s="1" t="s">
        <v>173</v>
      </c>
      <c r="F32" s="3"/>
    </row>
    <row r="33" spans="1:4" x14ac:dyDescent="0.25">
      <c r="A33" s="2">
        <f t="shared" si="1"/>
        <v>43899</v>
      </c>
      <c r="B33" s="3">
        <v>43899</v>
      </c>
      <c r="C33" s="6" t="str">
        <f t="shared" ref="C33:C64" si="2">PROPER(TEXT(B33,"ddd"))</f>
        <v>Dom</v>
      </c>
      <c r="D33" s="1" t="s">
        <v>173</v>
      </c>
    </row>
    <row r="34" spans="1:4" x14ac:dyDescent="0.25">
      <c r="A34" s="2">
        <f t="shared" si="1"/>
        <v>43906</v>
      </c>
      <c r="B34" s="3">
        <v>43906</v>
      </c>
      <c r="C34" s="6" t="str">
        <f t="shared" si="2"/>
        <v>Dom</v>
      </c>
      <c r="D34" s="1" t="s">
        <v>173</v>
      </c>
    </row>
    <row r="35" spans="1:4" x14ac:dyDescent="0.25">
      <c r="A35" s="2">
        <f t="shared" si="1"/>
        <v>43913</v>
      </c>
      <c r="B35" s="3">
        <v>43913</v>
      </c>
      <c r="C35" s="6" t="str">
        <f t="shared" si="2"/>
        <v>Dom</v>
      </c>
      <c r="D35" s="1" t="s">
        <v>173</v>
      </c>
    </row>
    <row r="36" spans="1:4" x14ac:dyDescent="0.25">
      <c r="A36" s="2">
        <f t="shared" si="1"/>
        <v>43918</v>
      </c>
      <c r="B36" s="3">
        <v>43918</v>
      </c>
      <c r="C36" s="6" t="str">
        <f t="shared" si="2"/>
        <v>Sex</v>
      </c>
      <c r="D36" s="1" t="s">
        <v>34</v>
      </c>
    </row>
    <row r="37" spans="1:4" x14ac:dyDescent="0.25">
      <c r="A37" s="2">
        <f t="shared" si="1"/>
        <v>43920</v>
      </c>
      <c r="B37" s="3">
        <v>43920</v>
      </c>
      <c r="C37" s="6" t="str">
        <f t="shared" si="2"/>
        <v>Dom</v>
      </c>
      <c r="D37" s="1" t="s">
        <v>35</v>
      </c>
    </row>
    <row r="38" spans="1:4" x14ac:dyDescent="0.25">
      <c r="A38" s="2">
        <f t="shared" si="1"/>
        <v>43920</v>
      </c>
      <c r="B38" s="3">
        <v>43920</v>
      </c>
      <c r="C38" s="6" t="str">
        <f t="shared" si="2"/>
        <v>Dom</v>
      </c>
      <c r="D38" s="1" t="s">
        <v>173</v>
      </c>
    </row>
    <row r="39" spans="1:4" x14ac:dyDescent="0.25">
      <c r="A39" s="2">
        <f t="shared" si="1"/>
        <v>43927</v>
      </c>
      <c r="B39" s="3">
        <v>43927</v>
      </c>
      <c r="C39" s="6" t="str">
        <f t="shared" si="2"/>
        <v>Dom</v>
      </c>
      <c r="D39" s="1" t="s">
        <v>173</v>
      </c>
    </row>
    <row r="40" spans="1:4" x14ac:dyDescent="0.25">
      <c r="A40" s="2">
        <f t="shared" si="1"/>
        <v>43934</v>
      </c>
      <c r="B40" s="3">
        <v>43934</v>
      </c>
      <c r="C40" s="6" t="str">
        <f t="shared" si="2"/>
        <v>Dom</v>
      </c>
      <c r="D40" s="1" t="s">
        <v>173</v>
      </c>
    </row>
    <row r="41" spans="1:4" x14ac:dyDescent="0.25">
      <c r="A41" s="2">
        <f t="shared" si="1"/>
        <v>43941</v>
      </c>
      <c r="B41" s="3">
        <v>43941</v>
      </c>
      <c r="C41" s="6" t="str">
        <f t="shared" si="2"/>
        <v>Dom</v>
      </c>
      <c r="D41" s="1" t="s">
        <v>36</v>
      </c>
    </row>
    <row r="42" spans="1:4" x14ac:dyDescent="0.25">
      <c r="A42" s="2">
        <f t="shared" ref="A42:A73" si="3">B42</f>
        <v>43941</v>
      </c>
      <c r="B42" s="3">
        <v>43941</v>
      </c>
      <c r="C42" s="6" t="str">
        <f t="shared" si="2"/>
        <v>Dom</v>
      </c>
      <c r="D42" s="1" t="s">
        <v>173</v>
      </c>
    </row>
    <row r="43" spans="1:4" x14ac:dyDescent="0.25">
      <c r="A43" s="2">
        <f t="shared" si="3"/>
        <v>43948</v>
      </c>
      <c r="B43" s="3">
        <v>43948</v>
      </c>
      <c r="C43" s="6" t="str">
        <f t="shared" si="2"/>
        <v>Dom</v>
      </c>
      <c r="D43" s="1" t="s">
        <v>173</v>
      </c>
    </row>
    <row r="44" spans="1:4" x14ac:dyDescent="0.25">
      <c r="A44" s="2">
        <f t="shared" si="3"/>
        <v>43951</v>
      </c>
      <c r="B44" s="3">
        <v>43951</v>
      </c>
      <c r="C44" s="6" t="str">
        <f t="shared" si="2"/>
        <v>Qua</v>
      </c>
      <c r="D44" s="1" t="s">
        <v>37</v>
      </c>
    </row>
    <row r="45" spans="1:4" x14ac:dyDescent="0.25">
      <c r="A45" s="2">
        <f t="shared" si="3"/>
        <v>43955</v>
      </c>
      <c r="B45" s="3">
        <v>43955</v>
      </c>
      <c r="C45" s="6" t="str">
        <f t="shared" si="2"/>
        <v>Dom</v>
      </c>
      <c r="D45" s="1" t="s">
        <v>173</v>
      </c>
    </row>
    <row r="46" spans="1:4" x14ac:dyDescent="0.25">
      <c r="A46" s="2">
        <f t="shared" si="3"/>
        <v>43957</v>
      </c>
      <c r="B46" s="3">
        <v>43957</v>
      </c>
      <c r="C46" s="6" t="str">
        <f t="shared" si="2"/>
        <v>Ter</v>
      </c>
      <c r="D46" s="1" t="s">
        <v>21</v>
      </c>
    </row>
    <row r="47" spans="1:4" x14ac:dyDescent="0.25">
      <c r="A47" s="2">
        <f t="shared" si="3"/>
        <v>43962</v>
      </c>
      <c r="B47" s="3">
        <v>43962</v>
      </c>
      <c r="C47" s="6" t="str">
        <f t="shared" si="2"/>
        <v>Dom</v>
      </c>
      <c r="D47" s="1" t="s">
        <v>173</v>
      </c>
    </row>
    <row r="48" spans="1:4" x14ac:dyDescent="0.25">
      <c r="A48" s="2">
        <f t="shared" si="3"/>
        <v>43969</v>
      </c>
      <c r="B48" s="3">
        <v>43969</v>
      </c>
      <c r="C48" s="6" t="str">
        <f t="shared" si="2"/>
        <v>Dom</v>
      </c>
      <c r="D48" s="1" t="s">
        <v>173</v>
      </c>
    </row>
    <row r="49" spans="1:4" x14ac:dyDescent="0.25">
      <c r="A49" s="2">
        <f t="shared" si="3"/>
        <v>43976</v>
      </c>
      <c r="B49" s="3">
        <v>43976</v>
      </c>
      <c r="C49" s="6" t="str">
        <f t="shared" si="2"/>
        <v>Dom</v>
      </c>
      <c r="D49" s="1" t="s">
        <v>173</v>
      </c>
    </row>
    <row r="50" spans="1:4" x14ac:dyDescent="0.25">
      <c r="A50" s="2">
        <f t="shared" si="3"/>
        <v>43980</v>
      </c>
      <c r="B50" s="3">
        <v>43980</v>
      </c>
      <c r="C50" s="6" t="str">
        <f t="shared" si="2"/>
        <v>Qui</v>
      </c>
      <c r="D50" s="1" t="s">
        <v>38</v>
      </c>
    </row>
    <row r="51" spans="1:4" x14ac:dyDescent="0.25">
      <c r="A51" s="2">
        <f t="shared" si="3"/>
        <v>43983</v>
      </c>
      <c r="B51" s="3">
        <v>43983</v>
      </c>
      <c r="C51" s="6" t="str">
        <f t="shared" si="2"/>
        <v>Dom</v>
      </c>
      <c r="D51" s="1" t="s">
        <v>173</v>
      </c>
    </row>
    <row r="52" spans="1:4" x14ac:dyDescent="0.25">
      <c r="A52" s="2">
        <f t="shared" si="3"/>
        <v>43990</v>
      </c>
      <c r="B52" s="3">
        <v>43990</v>
      </c>
      <c r="C52" s="6" t="str">
        <f t="shared" si="2"/>
        <v>Dom</v>
      </c>
      <c r="D52" s="1" t="s">
        <v>173</v>
      </c>
    </row>
    <row r="53" spans="1:4" x14ac:dyDescent="0.25">
      <c r="A53" s="2">
        <f t="shared" si="3"/>
        <v>43997</v>
      </c>
      <c r="B53" s="3">
        <v>43997</v>
      </c>
      <c r="C53" s="6" t="str">
        <f t="shared" si="2"/>
        <v>Dom</v>
      </c>
      <c r="D53" s="1" t="s">
        <v>173</v>
      </c>
    </row>
    <row r="54" spans="1:4" x14ac:dyDescent="0.25">
      <c r="A54" s="2">
        <f t="shared" si="3"/>
        <v>44004</v>
      </c>
      <c r="B54" s="3">
        <v>44004</v>
      </c>
      <c r="C54" s="6" t="str">
        <f t="shared" si="2"/>
        <v>Dom</v>
      </c>
      <c r="D54" s="1" t="s">
        <v>173</v>
      </c>
    </row>
    <row r="55" spans="1:4" x14ac:dyDescent="0.25">
      <c r="A55" s="2">
        <f t="shared" si="3"/>
        <v>44011</v>
      </c>
      <c r="B55" s="3">
        <v>44011</v>
      </c>
      <c r="C55" s="6" t="str">
        <f t="shared" si="2"/>
        <v>Dom</v>
      </c>
      <c r="D55" s="1" t="s">
        <v>173</v>
      </c>
    </row>
    <row r="56" spans="1:4" x14ac:dyDescent="0.25">
      <c r="A56" s="2">
        <f t="shared" si="3"/>
        <v>44018</v>
      </c>
      <c r="B56" s="3">
        <v>44018</v>
      </c>
      <c r="C56" s="6" t="str">
        <f t="shared" si="2"/>
        <v>Dom</v>
      </c>
      <c r="D56" s="1" t="s">
        <v>173</v>
      </c>
    </row>
    <row r="57" spans="1:4" x14ac:dyDescent="0.25">
      <c r="A57" s="2">
        <f t="shared" si="3"/>
        <v>44025</v>
      </c>
      <c r="B57" s="3">
        <v>44025</v>
      </c>
      <c r="C57" s="6" t="str">
        <f t="shared" si="2"/>
        <v>Dom</v>
      </c>
      <c r="D57" s="1" t="s">
        <v>173</v>
      </c>
    </row>
    <row r="58" spans="1:4" x14ac:dyDescent="0.25">
      <c r="A58" s="2">
        <f t="shared" si="3"/>
        <v>44032</v>
      </c>
      <c r="B58" s="3">
        <v>44032</v>
      </c>
      <c r="C58" s="6" t="str">
        <f t="shared" si="2"/>
        <v>Dom</v>
      </c>
      <c r="D58" s="1" t="s">
        <v>173</v>
      </c>
    </row>
    <row r="59" spans="1:4" x14ac:dyDescent="0.25">
      <c r="A59" s="2">
        <f t="shared" si="3"/>
        <v>44039</v>
      </c>
      <c r="B59" s="3">
        <v>44039</v>
      </c>
      <c r="C59" s="6" t="str">
        <f t="shared" si="2"/>
        <v>Dom</v>
      </c>
      <c r="D59" s="1" t="s">
        <v>173</v>
      </c>
    </row>
    <row r="60" spans="1:4" x14ac:dyDescent="0.25">
      <c r="A60" s="2">
        <f t="shared" si="3"/>
        <v>44046</v>
      </c>
      <c r="B60" s="3">
        <v>44046</v>
      </c>
      <c r="C60" s="6" t="str">
        <f t="shared" si="2"/>
        <v>Dom</v>
      </c>
      <c r="D60" s="1" t="s">
        <v>173</v>
      </c>
    </row>
    <row r="61" spans="1:4" x14ac:dyDescent="0.25">
      <c r="A61" s="2">
        <f t="shared" si="3"/>
        <v>44053</v>
      </c>
      <c r="B61" s="3">
        <v>44053</v>
      </c>
      <c r="C61" s="6" t="str">
        <f t="shared" si="2"/>
        <v>Dom</v>
      </c>
      <c r="D61" s="1" t="s">
        <v>173</v>
      </c>
    </row>
    <row r="62" spans="1:4" x14ac:dyDescent="0.25">
      <c r="A62" s="2">
        <f t="shared" si="3"/>
        <v>44060</v>
      </c>
      <c r="B62" s="3">
        <v>44060</v>
      </c>
      <c r="C62" s="6" t="str">
        <f t="shared" si="2"/>
        <v>Dom</v>
      </c>
      <c r="D62" s="1" t="s">
        <v>173</v>
      </c>
    </row>
    <row r="63" spans="1:4" x14ac:dyDescent="0.25">
      <c r="A63" s="2">
        <f t="shared" si="3"/>
        <v>44067</v>
      </c>
      <c r="B63" s="3">
        <v>44067</v>
      </c>
      <c r="C63" s="6" t="str">
        <f t="shared" si="2"/>
        <v>Dom</v>
      </c>
      <c r="D63" s="1" t="s">
        <v>173</v>
      </c>
    </row>
    <row r="64" spans="1:4" x14ac:dyDescent="0.25">
      <c r="A64" s="2">
        <f t="shared" si="3"/>
        <v>44074</v>
      </c>
      <c r="B64" s="3">
        <v>44074</v>
      </c>
      <c r="C64" s="6" t="str">
        <f t="shared" si="2"/>
        <v>Dom</v>
      </c>
      <c r="D64" s="1" t="s">
        <v>173</v>
      </c>
    </row>
    <row r="65" spans="1:4" x14ac:dyDescent="0.25">
      <c r="A65" s="2">
        <f t="shared" si="3"/>
        <v>44081</v>
      </c>
      <c r="B65" s="3">
        <v>44081</v>
      </c>
      <c r="C65" s="6" t="str">
        <f t="shared" ref="C65:C86" si="4">PROPER(TEXT(B65,"ddd"))</f>
        <v>Dom</v>
      </c>
      <c r="D65" s="1" t="s">
        <v>173</v>
      </c>
    </row>
    <row r="66" spans="1:4" x14ac:dyDescent="0.25">
      <c r="A66" s="2">
        <f t="shared" si="3"/>
        <v>44088</v>
      </c>
      <c r="B66" s="3">
        <v>44088</v>
      </c>
      <c r="C66" s="6" t="str">
        <f t="shared" si="4"/>
        <v>Dom</v>
      </c>
      <c r="D66" s="1" t="s">
        <v>173</v>
      </c>
    </row>
    <row r="67" spans="1:4" x14ac:dyDescent="0.25">
      <c r="A67" s="2">
        <f t="shared" si="3"/>
        <v>44095</v>
      </c>
      <c r="B67" s="3">
        <v>44095</v>
      </c>
      <c r="C67" s="6" t="str">
        <f t="shared" si="4"/>
        <v>Dom</v>
      </c>
      <c r="D67" s="1" t="s">
        <v>173</v>
      </c>
    </row>
    <row r="68" spans="1:4" x14ac:dyDescent="0.25">
      <c r="A68" s="2">
        <f t="shared" si="3"/>
        <v>44102</v>
      </c>
      <c r="B68" s="3">
        <v>44102</v>
      </c>
      <c r="C68" s="6" t="str">
        <f t="shared" si="4"/>
        <v>Dom</v>
      </c>
      <c r="D68" s="1" t="s">
        <v>173</v>
      </c>
    </row>
    <row r="69" spans="1:4" x14ac:dyDescent="0.25">
      <c r="A69" s="2">
        <f t="shared" si="3"/>
        <v>44109</v>
      </c>
      <c r="B69" s="3">
        <v>44109</v>
      </c>
      <c r="C69" s="6" t="str">
        <f t="shared" si="4"/>
        <v>Dom</v>
      </c>
      <c r="D69" s="1" t="s">
        <v>173</v>
      </c>
    </row>
    <row r="70" spans="1:4" x14ac:dyDescent="0.25">
      <c r="A70" s="2">
        <f t="shared" si="3"/>
        <v>44115</v>
      </c>
      <c r="B70" s="3">
        <v>44115</v>
      </c>
      <c r="C70" s="6" t="str">
        <f t="shared" si="4"/>
        <v>Sáb</v>
      </c>
      <c r="D70" s="1" t="s">
        <v>39</v>
      </c>
    </row>
    <row r="71" spans="1:4" x14ac:dyDescent="0.25">
      <c r="A71" s="2">
        <f t="shared" si="3"/>
        <v>44116</v>
      </c>
      <c r="B71" s="3">
        <v>44116</v>
      </c>
      <c r="C71" s="6" t="str">
        <f t="shared" si="4"/>
        <v>Dom</v>
      </c>
      <c r="D71" s="1" t="s">
        <v>173</v>
      </c>
    </row>
    <row r="72" spans="1:4" x14ac:dyDescent="0.25">
      <c r="A72" s="2">
        <f t="shared" si="3"/>
        <v>44123</v>
      </c>
      <c r="B72" s="3">
        <v>44123</v>
      </c>
      <c r="C72" s="6" t="str">
        <f t="shared" si="4"/>
        <v>Dom</v>
      </c>
      <c r="D72" s="1" t="s">
        <v>173</v>
      </c>
    </row>
    <row r="73" spans="1:4" x14ac:dyDescent="0.25">
      <c r="A73" s="2">
        <f t="shared" si="3"/>
        <v>44130</v>
      </c>
      <c r="B73" s="3">
        <v>44130</v>
      </c>
      <c r="C73" s="6" t="str">
        <f t="shared" si="4"/>
        <v>Dom</v>
      </c>
      <c r="D73" s="1" t="s">
        <v>173</v>
      </c>
    </row>
    <row r="74" spans="1:4" x14ac:dyDescent="0.25">
      <c r="A74" s="2">
        <f t="shared" ref="A74:A86" si="5">B74</f>
        <v>44136</v>
      </c>
      <c r="B74" s="3">
        <v>44136</v>
      </c>
      <c r="C74" s="6" t="str">
        <f t="shared" si="4"/>
        <v>Sáb</v>
      </c>
      <c r="D74" s="1" t="s">
        <v>27</v>
      </c>
    </row>
    <row r="75" spans="1:4" x14ac:dyDescent="0.25">
      <c r="A75" s="2">
        <f t="shared" si="5"/>
        <v>44137</v>
      </c>
      <c r="B75" s="3">
        <v>44137</v>
      </c>
      <c r="C75" s="6" t="str">
        <f t="shared" si="4"/>
        <v>Dom</v>
      </c>
      <c r="D75" s="1" t="s">
        <v>173</v>
      </c>
    </row>
    <row r="76" spans="1:4" x14ac:dyDescent="0.25">
      <c r="A76" s="2">
        <f t="shared" si="5"/>
        <v>44144</v>
      </c>
      <c r="B76" s="3">
        <v>44144</v>
      </c>
      <c r="C76" s="6" t="str">
        <f t="shared" si="4"/>
        <v>Dom</v>
      </c>
      <c r="D76" s="1" t="s">
        <v>173</v>
      </c>
    </row>
    <row r="77" spans="1:4" x14ac:dyDescent="0.25">
      <c r="A77" s="2">
        <f t="shared" si="5"/>
        <v>44149</v>
      </c>
      <c r="B77" s="3">
        <v>44149</v>
      </c>
      <c r="C77" s="6" t="str">
        <f t="shared" si="4"/>
        <v>Sex</v>
      </c>
      <c r="D77" s="1" t="s">
        <v>40</v>
      </c>
    </row>
    <row r="78" spans="1:4" x14ac:dyDescent="0.25">
      <c r="A78" s="2">
        <f t="shared" si="5"/>
        <v>44151</v>
      </c>
      <c r="B78" s="3">
        <v>44151</v>
      </c>
      <c r="C78" s="6" t="str">
        <f t="shared" si="4"/>
        <v>Dom</v>
      </c>
      <c r="D78" s="1" t="s">
        <v>173</v>
      </c>
    </row>
    <row r="79" spans="1:4" x14ac:dyDescent="0.25">
      <c r="A79" s="2">
        <f t="shared" si="5"/>
        <v>44154</v>
      </c>
      <c r="B79" s="3">
        <v>44154</v>
      </c>
      <c r="C79" s="6" t="str">
        <f t="shared" si="4"/>
        <v>Qua</v>
      </c>
      <c r="D79" s="1" t="s">
        <v>41</v>
      </c>
    </row>
    <row r="80" spans="1:4" x14ac:dyDescent="0.25">
      <c r="A80" s="2">
        <f t="shared" si="5"/>
        <v>44158</v>
      </c>
      <c r="B80" s="3">
        <v>44158</v>
      </c>
      <c r="C80" s="6" t="str">
        <f t="shared" si="4"/>
        <v>Dom</v>
      </c>
      <c r="D80" s="1" t="s">
        <v>173</v>
      </c>
    </row>
    <row r="81" spans="1:4" x14ac:dyDescent="0.25">
      <c r="A81" s="2">
        <f t="shared" si="5"/>
        <v>44165</v>
      </c>
      <c r="B81" s="3">
        <v>44165</v>
      </c>
      <c r="C81" s="6" t="str">
        <f t="shared" si="4"/>
        <v>Dom</v>
      </c>
      <c r="D81" s="1" t="s">
        <v>173</v>
      </c>
    </row>
    <row r="82" spans="1:4" x14ac:dyDescent="0.25">
      <c r="A82" s="2">
        <f t="shared" si="5"/>
        <v>44172</v>
      </c>
      <c r="B82" s="3">
        <v>44172</v>
      </c>
      <c r="C82" s="6" t="str">
        <f t="shared" si="4"/>
        <v>Dom</v>
      </c>
      <c r="D82" s="1" t="s">
        <v>173</v>
      </c>
    </row>
    <row r="83" spans="1:4" x14ac:dyDescent="0.25">
      <c r="A83" s="2">
        <f t="shared" si="5"/>
        <v>44179</v>
      </c>
      <c r="B83" s="3">
        <v>44179</v>
      </c>
      <c r="C83" s="6" t="str">
        <f t="shared" si="4"/>
        <v>Dom</v>
      </c>
      <c r="D83" s="1" t="s">
        <v>173</v>
      </c>
    </row>
    <row r="84" spans="1:4" x14ac:dyDescent="0.25">
      <c r="A84" s="2">
        <f t="shared" si="5"/>
        <v>44186</v>
      </c>
      <c r="B84" s="3">
        <v>44186</v>
      </c>
      <c r="C84" s="6" t="str">
        <f t="shared" si="4"/>
        <v>Dom</v>
      </c>
      <c r="D84" s="1" t="s">
        <v>173</v>
      </c>
    </row>
    <row r="85" spans="1:4" x14ac:dyDescent="0.25">
      <c r="A85" s="2">
        <f t="shared" si="5"/>
        <v>44189</v>
      </c>
      <c r="B85" s="3">
        <v>44189</v>
      </c>
      <c r="C85" s="6" t="str">
        <f t="shared" si="4"/>
        <v>Qua</v>
      </c>
      <c r="D85" s="1" t="s">
        <v>30</v>
      </c>
    </row>
    <row r="86" spans="1:4" x14ac:dyDescent="0.25">
      <c r="A86" s="2">
        <f t="shared" si="5"/>
        <v>44193</v>
      </c>
      <c r="B86" s="3">
        <v>44193</v>
      </c>
      <c r="C86" s="6" t="str">
        <f t="shared" si="4"/>
        <v>Dom</v>
      </c>
      <c r="D86" s="1" t="s">
        <v>173</v>
      </c>
    </row>
    <row r="87" spans="1:4" x14ac:dyDescent="0.25">
      <c r="B87" s="3"/>
    </row>
  </sheetData>
  <conditionalFormatting sqref="A3:D86">
    <cfRule type="containsText" dxfId="1" priority="1" stopIfTrue="1" operator="containsText" text="Manaus">
      <formula>NOT(ISERROR(SEARCH("Manaus",A3)))</formula>
    </cfRule>
  </conditionalFormatting>
  <pageMargins left="0.511811024" right="0.511811024" top="0.78740157499999996" bottom="0.78740157499999996" header="0.31496062000000002" footer="0.31496062000000002"/>
  <drawing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966C7-235B-4874-9763-5AC53FB32BD5}">
  <sheetPr codeName="Planilha7">
    <pageSetUpPr fitToPage="1"/>
  </sheetPr>
  <dimension ref="A1:Y49"/>
  <sheetViews>
    <sheetView showGridLines="0" showZeros="0" zoomScale="70" zoomScaleNormal="70" workbookViewId="0">
      <pane xSplit="12" ySplit="2" topLeftCell="M3" activePane="bottomRight" state="frozen"/>
      <selection pane="topRight" activeCell="M1" sqref="M1"/>
      <selection pane="bottomLeft" activeCell="A3" sqref="A3"/>
      <selection pane="bottomRight" activeCell="N17" sqref="N17"/>
    </sheetView>
  </sheetViews>
  <sheetFormatPr defaultRowHeight="15" x14ac:dyDescent="0.25"/>
  <cols>
    <col min="1" max="1" width="1.7109375" customWidth="1"/>
    <col min="2" max="2" width="24.140625" customWidth="1"/>
    <col min="3" max="3" width="24.28515625" bestFit="1" customWidth="1"/>
    <col min="4" max="4" width="19.140625" customWidth="1"/>
    <col min="5" max="5" width="25.5703125" customWidth="1"/>
    <col min="6" max="6" width="42.85546875" bestFit="1" customWidth="1"/>
    <col min="7" max="9" width="24.140625" customWidth="1"/>
  </cols>
  <sheetData>
    <row r="1" spans="2:25" ht="39.950000000000003" customHeight="1" x14ac:dyDescent="0.25">
      <c r="B1" s="17" t="s">
        <v>51</v>
      </c>
      <c r="C1" s="17"/>
      <c r="D1" s="17"/>
      <c r="E1" s="17"/>
      <c r="F1" s="17"/>
      <c r="G1" s="17"/>
      <c r="H1" s="17"/>
      <c r="I1" s="1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</row>
    <row r="2" spans="2:25" ht="5.0999999999999996" customHeight="1" x14ac:dyDescent="0.25">
      <c r="M2" s="47"/>
      <c r="N2" s="47"/>
      <c r="O2" s="31" t="s">
        <v>82</v>
      </c>
      <c r="P2" s="31"/>
      <c r="Q2" s="31"/>
      <c r="R2" s="31"/>
      <c r="S2" s="47"/>
      <c r="T2" s="47"/>
      <c r="U2" s="47"/>
      <c r="V2" s="47"/>
      <c r="W2" s="47"/>
      <c r="X2" s="47"/>
      <c r="Y2" s="47"/>
    </row>
    <row r="3" spans="2:25" ht="15.75" thickBot="1" x14ac:dyDescent="0.3">
      <c r="B3" s="18" t="s">
        <v>52</v>
      </c>
      <c r="C3" s="19"/>
      <c r="D3" s="19"/>
      <c r="E3" s="19"/>
      <c r="F3" s="19"/>
      <c r="G3" s="19"/>
      <c r="H3" s="19"/>
      <c r="I3" s="19"/>
      <c r="M3" s="47"/>
      <c r="N3" s="47"/>
      <c r="O3" s="31" t="s">
        <v>71</v>
      </c>
      <c r="P3" s="31" t="s">
        <v>64</v>
      </c>
      <c r="Q3" s="31" t="s">
        <v>64</v>
      </c>
      <c r="R3" s="31"/>
      <c r="S3" s="47"/>
      <c r="T3" s="47"/>
      <c r="U3" s="47"/>
      <c r="V3" s="47"/>
      <c r="W3" s="47"/>
      <c r="X3" s="47"/>
      <c r="Y3" s="47"/>
    </row>
    <row r="4" spans="2:25" ht="5.0999999999999996" customHeight="1" thickTop="1" thickBot="1" x14ac:dyDescent="0.3">
      <c r="M4" s="47"/>
      <c r="N4" s="47"/>
      <c r="O4" s="31" t="str">
        <f>C5</f>
        <v>Gabriela</v>
      </c>
      <c r="P4" s="31" t="str">
        <f>"&gt;=" &amp;C10</f>
        <v>&gt;=43915</v>
      </c>
      <c r="Q4" s="31" t="str">
        <f>"&lt;=" &amp;C11</f>
        <v>&lt;=43945</v>
      </c>
      <c r="R4" s="31"/>
      <c r="S4" s="47"/>
      <c r="T4" s="47"/>
      <c r="U4" s="47"/>
      <c r="V4" s="47"/>
      <c r="W4" s="47"/>
      <c r="X4" s="47"/>
      <c r="Y4" s="47"/>
    </row>
    <row r="5" spans="2:25" ht="15.75" thickBot="1" x14ac:dyDescent="0.3">
      <c r="B5" s="20" t="s">
        <v>11</v>
      </c>
      <c r="C5" s="21" t="s">
        <v>209</v>
      </c>
      <c r="E5" s="20" t="s">
        <v>53</v>
      </c>
      <c r="F5" s="22" t="str">
        <f>VLOOKUP(C5,Funcionarios[],4,0)</f>
        <v>gabriela.martins@duonobre.com.br</v>
      </c>
      <c r="M5" s="47"/>
      <c r="N5" s="47"/>
      <c r="O5" s="31"/>
      <c r="P5" s="31"/>
      <c r="Q5" s="31"/>
      <c r="R5" s="31"/>
      <c r="S5" s="47"/>
      <c r="T5" s="47"/>
      <c r="U5" s="47"/>
      <c r="V5" s="47"/>
      <c r="W5" s="47"/>
      <c r="X5" s="47"/>
      <c r="Y5" s="47"/>
    </row>
    <row r="6" spans="2:25" ht="15.75" thickBot="1" x14ac:dyDescent="0.3">
      <c r="B6" s="20" t="s">
        <v>54</v>
      </c>
      <c r="C6" s="22" t="str">
        <f>VLOOKUP(C5,Funcionarios[],2,0)</f>
        <v>Auxilia de Escritório</v>
      </c>
      <c r="E6" s="20" t="s">
        <v>55</v>
      </c>
      <c r="F6" s="22" t="str">
        <f>VLOOKUP(C5,Funcionarios[],5,0)</f>
        <v>(92) 98507-1774</v>
      </c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</row>
    <row r="7" spans="2:25" ht="9" customHeight="1" x14ac:dyDescent="0.25"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</row>
    <row r="8" spans="2:25" ht="15.75" thickBot="1" x14ac:dyDescent="0.3">
      <c r="B8" s="18" t="s">
        <v>56</v>
      </c>
      <c r="C8" s="19"/>
      <c r="D8" s="19"/>
      <c r="E8" s="19"/>
      <c r="F8" s="19"/>
      <c r="G8" s="19"/>
      <c r="H8" s="19"/>
      <c r="I8" s="19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</row>
    <row r="9" spans="2:25" ht="5.0999999999999996" customHeight="1" thickTop="1" thickBot="1" x14ac:dyDescent="0.3"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</row>
    <row r="10" spans="2:25" ht="15.75" thickBot="1" x14ac:dyDescent="0.3">
      <c r="B10" s="20" t="s">
        <v>42</v>
      </c>
      <c r="C10" s="23">
        <v>43915</v>
      </c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</row>
    <row r="11" spans="2:25" ht="15.75" thickBot="1" x14ac:dyDescent="0.3">
      <c r="B11" s="20" t="s">
        <v>43</v>
      </c>
      <c r="C11" s="23">
        <v>43945</v>
      </c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</row>
    <row r="12" spans="2:25" ht="9" customHeight="1" x14ac:dyDescent="0.25"/>
    <row r="13" spans="2:25" ht="15.75" thickBot="1" x14ac:dyDescent="0.3">
      <c r="B13" s="18" t="s">
        <v>57</v>
      </c>
      <c r="C13" s="19"/>
      <c r="D13" s="19"/>
      <c r="E13" s="19"/>
      <c r="F13" s="19"/>
      <c r="G13" s="19"/>
      <c r="H13" s="19"/>
      <c r="I13" s="19"/>
    </row>
    <row r="14" spans="2:25" ht="5.0999999999999996" customHeight="1" thickTop="1" x14ac:dyDescent="0.25"/>
    <row r="15" spans="2:25" ht="30" x14ac:dyDescent="0.25">
      <c r="B15" s="24" t="s">
        <v>58</v>
      </c>
      <c r="C15" s="24" t="s">
        <v>59</v>
      </c>
      <c r="D15" s="25" t="s">
        <v>60</v>
      </c>
      <c r="E15" s="25" t="s">
        <v>61</v>
      </c>
      <c r="F15" s="24" t="s">
        <v>62</v>
      </c>
      <c r="G15" s="25" t="s">
        <v>63</v>
      </c>
    </row>
    <row r="16" spans="2:25" ht="23.25" x14ac:dyDescent="0.25">
      <c r="B16" s="26">
        <f>NETWORKDAYS.INTL(C10,C11,11,Feriados!A4:A254)+1</f>
        <v>27</v>
      </c>
      <c r="C16" s="27">
        <v>0.33333333333333331</v>
      </c>
      <c r="D16" s="26">
        <f>220</f>
        <v>220</v>
      </c>
      <c r="E16" s="28">
        <f>SUM(H:H)</f>
        <v>1.8479166666666669</v>
      </c>
      <c r="F16" s="28">
        <f>SUM(I:I)</f>
        <v>6.5277777777777712E-2</v>
      </c>
      <c r="G16" s="29">
        <f>IFERROR(SUMIFS(Horas[Feriados],Horas[Data],P4,Horas[Data],Q4,Horas[Nome],C5),"")</f>
        <v>0.29166666666666669</v>
      </c>
      <c r="H16" s="28"/>
      <c r="K16" s="28"/>
    </row>
    <row r="17" spans="1:15" ht="5.0999999999999996" customHeight="1" thickBot="1" x14ac:dyDescent="0.3">
      <c r="B17" s="19"/>
      <c r="C17" s="19"/>
      <c r="D17" s="19"/>
      <c r="E17" s="19"/>
      <c r="F17" s="19"/>
      <c r="G17" s="19"/>
      <c r="H17" s="19"/>
      <c r="I17" s="19"/>
    </row>
    <row r="18" spans="1:15" ht="5.0999999999999996" customHeight="1" thickTop="1" x14ac:dyDescent="0.25"/>
    <row r="19" spans="1:15" ht="30" x14ac:dyDescent="0.25">
      <c r="B19" s="24" t="s">
        <v>14</v>
      </c>
      <c r="C19" s="25" t="s">
        <v>167</v>
      </c>
      <c r="D19" s="25" t="s">
        <v>165</v>
      </c>
      <c r="E19" s="25" t="s">
        <v>166</v>
      </c>
      <c r="F19" s="24" t="s">
        <v>168</v>
      </c>
      <c r="M19" s="10"/>
      <c r="O19" s="10"/>
    </row>
    <row r="20" spans="1:15" ht="23.25" x14ac:dyDescent="0.35">
      <c r="B20" s="30">
        <v>1350</v>
      </c>
      <c r="C20" s="30">
        <f>B20/D16</f>
        <v>6.1363636363636367</v>
      </c>
      <c r="D20" s="30">
        <f>(B20/D16)*1.5</f>
        <v>9.204545454545455</v>
      </c>
      <c r="E20" s="30">
        <f>(B20/D16)*2</f>
        <v>12.272727272727273</v>
      </c>
      <c r="F20" s="30">
        <f>((F16*D20)+(E20*G16))*24</f>
        <v>100.32954545454547</v>
      </c>
    </row>
    <row r="21" spans="1:15" ht="5.0999999999999996" customHeight="1" thickBot="1" x14ac:dyDescent="0.3">
      <c r="B21" s="19"/>
      <c r="C21" s="19"/>
      <c r="D21" s="19"/>
      <c r="E21" s="19"/>
      <c r="F21" s="19"/>
      <c r="G21" s="19"/>
      <c r="H21" s="19"/>
      <c r="I21" s="19"/>
    </row>
    <row r="22" spans="1:15" ht="23.25" customHeight="1" thickTop="1" x14ac:dyDescent="0.25">
      <c r="A22" s="31" t="s">
        <v>71</v>
      </c>
      <c r="B22" s="24" t="s">
        <v>64</v>
      </c>
      <c r="C22" s="24" t="s">
        <v>65</v>
      </c>
      <c r="D22" s="24" t="s">
        <v>66</v>
      </c>
      <c r="E22" s="24" t="s">
        <v>67</v>
      </c>
      <c r="F22" s="24" t="s">
        <v>68</v>
      </c>
      <c r="G22" s="24" t="s">
        <v>69</v>
      </c>
      <c r="H22" s="24" t="s">
        <v>70</v>
      </c>
      <c r="I22" s="24" t="s">
        <v>50</v>
      </c>
      <c r="N22" s="10"/>
    </row>
    <row r="23" spans="1:15" x14ac:dyDescent="0.25">
      <c r="B23" s="32">
        <v>43915</v>
      </c>
      <c r="C23" s="33">
        <v>0.33333333333333331</v>
      </c>
      <c r="D23" s="33">
        <v>0.51111111111111107</v>
      </c>
      <c r="E23" s="33">
        <v>0.54166666666666663</v>
      </c>
      <c r="F23" s="39">
        <v>0.75</v>
      </c>
      <c r="G23" s="33">
        <v>0.375</v>
      </c>
      <c r="H23" s="33">
        <v>0.38611111111111113</v>
      </c>
      <c r="I23" s="40">
        <v>1.1111111111111106E-2</v>
      </c>
    </row>
    <row r="24" spans="1:15" x14ac:dyDescent="0.25">
      <c r="B24" s="32">
        <v>43916</v>
      </c>
      <c r="C24" s="33">
        <v>0.33333333333333331</v>
      </c>
      <c r="D24" s="33">
        <v>0.51388888888888884</v>
      </c>
      <c r="E24" s="33">
        <v>0.54236111111111107</v>
      </c>
      <c r="F24" s="39">
        <v>0.75902777777777775</v>
      </c>
      <c r="G24" s="33">
        <v>0.375</v>
      </c>
      <c r="H24" s="33">
        <v>0.3972222222222222</v>
      </c>
      <c r="I24" s="40">
        <v>2.2222222222222178E-2</v>
      </c>
    </row>
    <row r="25" spans="1:15" x14ac:dyDescent="0.25">
      <c r="B25" s="32">
        <v>43917</v>
      </c>
      <c r="C25" s="33">
        <v>0.33333333333333331</v>
      </c>
      <c r="D25" s="33">
        <v>0.53125</v>
      </c>
      <c r="E25" s="33">
        <v>0.56319444444444444</v>
      </c>
      <c r="F25" s="39">
        <v>0.75</v>
      </c>
      <c r="G25" s="33">
        <v>0.375</v>
      </c>
      <c r="H25" s="33">
        <v>0.38472222222222224</v>
      </c>
      <c r="I25" s="40">
        <v>9.7222222222222224E-3</v>
      </c>
    </row>
    <row r="26" spans="1:15" x14ac:dyDescent="0.25">
      <c r="B26" s="32">
        <v>43918</v>
      </c>
      <c r="C26" s="33">
        <v>0.33333333333333331</v>
      </c>
      <c r="D26" s="33">
        <v>0.5</v>
      </c>
      <c r="E26" s="33">
        <v>0.54166666666666663</v>
      </c>
      <c r="F26" s="39">
        <v>0.66666666666666663</v>
      </c>
      <c r="G26" s="33">
        <v>0.29166666666666669</v>
      </c>
      <c r="H26" s="33">
        <v>0.29166666666666669</v>
      </c>
      <c r="I26" s="40" t="s">
        <v>214</v>
      </c>
    </row>
    <row r="27" spans="1:15" x14ac:dyDescent="0.25">
      <c r="B27" s="32">
        <v>43921</v>
      </c>
      <c r="C27" s="33">
        <v>0.33333333333333331</v>
      </c>
      <c r="D27" s="33">
        <v>0.5</v>
      </c>
      <c r="E27" s="33">
        <v>0.52847222222222223</v>
      </c>
      <c r="F27" s="39">
        <v>0.75</v>
      </c>
      <c r="G27" s="33">
        <v>0.375</v>
      </c>
      <c r="H27" s="33">
        <v>0.38819444444444445</v>
      </c>
      <c r="I27" s="40">
        <v>1.3194444444444432E-2</v>
      </c>
    </row>
    <row r="28" spans="1:15" x14ac:dyDescent="0.25">
      <c r="B28" s="32">
        <v>43922</v>
      </c>
      <c r="C28" s="33">
        <v>0.32430555555555557</v>
      </c>
      <c r="D28" s="33"/>
      <c r="E28" s="33"/>
      <c r="F28" s="39">
        <v>0.70833333333333337</v>
      </c>
      <c r="G28" s="33" t="s">
        <v>214</v>
      </c>
      <c r="H28" s="33" t="s">
        <v>214</v>
      </c>
      <c r="I28" s="40">
        <v>9.0277777777777804E-3</v>
      </c>
    </row>
    <row r="29" spans="1:15" x14ac:dyDescent="0.25">
      <c r="B29" s="32"/>
      <c r="C29" s="33"/>
      <c r="D29" s="33"/>
      <c r="E29" s="33"/>
      <c r="F29" s="39"/>
      <c r="G29" s="33"/>
      <c r="H29" s="33"/>
      <c r="I29" s="40"/>
    </row>
    <row r="30" spans="1:15" x14ac:dyDescent="0.25">
      <c r="B30" s="32"/>
      <c r="C30" s="33"/>
      <c r="D30" s="33"/>
      <c r="E30" s="33"/>
      <c r="F30" s="39"/>
      <c r="G30" s="33"/>
      <c r="H30" s="33"/>
      <c r="I30" s="40"/>
    </row>
    <row r="31" spans="1:15" x14ac:dyDescent="0.25">
      <c r="B31" s="32"/>
      <c r="C31" s="33"/>
      <c r="D31" s="33"/>
      <c r="E31" s="33"/>
      <c r="F31" s="39"/>
      <c r="G31" s="33"/>
      <c r="H31" s="33"/>
      <c r="I31" s="40"/>
    </row>
    <row r="32" spans="1:15" x14ac:dyDescent="0.25">
      <c r="B32" s="32"/>
      <c r="C32" s="33"/>
      <c r="D32" s="33"/>
      <c r="E32" s="33"/>
      <c r="F32" s="39"/>
      <c r="G32" s="33"/>
      <c r="H32" s="33"/>
      <c r="I32" s="40"/>
    </row>
    <row r="33" spans="2:9" x14ac:dyDescent="0.25">
      <c r="B33" s="32"/>
      <c r="C33" s="33"/>
      <c r="D33" s="33"/>
      <c r="E33" s="33"/>
      <c r="F33" s="39"/>
      <c r="G33" s="33"/>
      <c r="H33" s="33"/>
      <c r="I33" s="40"/>
    </row>
    <row r="34" spans="2:9" x14ac:dyDescent="0.25">
      <c r="B34" s="32"/>
      <c r="C34" s="33"/>
      <c r="D34" s="33"/>
      <c r="E34" s="33"/>
      <c r="F34" s="39"/>
      <c r="G34" s="33"/>
      <c r="H34" s="33"/>
      <c r="I34" s="40"/>
    </row>
    <row r="35" spans="2:9" x14ac:dyDescent="0.25">
      <c r="B35" s="32"/>
      <c r="C35" s="33"/>
      <c r="D35" s="33"/>
      <c r="E35" s="33"/>
      <c r="F35" s="39"/>
      <c r="G35" s="33"/>
      <c r="H35" s="33"/>
      <c r="I35" s="40"/>
    </row>
    <row r="36" spans="2:9" x14ac:dyDescent="0.25">
      <c r="B36" s="32"/>
      <c r="C36" s="33"/>
      <c r="D36" s="33"/>
      <c r="E36" s="33"/>
      <c r="F36" s="39"/>
      <c r="G36" s="33"/>
      <c r="H36" s="33"/>
      <c r="I36" s="40"/>
    </row>
    <row r="37" spans="2:9" x14ac:dyDescent="0.25">
      <c r="B37" s="32"/>
      <c r="C37" s="33"/>
      <c r="D37" s="33"/>
      <c r="E37" s="33"/>
      <c r="F37" s="39"/>
      <c r="G37" s="33"/>
      <c r="H37" s="33"/>
      <c r="I37" s="40"/>
    </row>
    <row r="38" spans="2:9" x14ac:dyDescent="0.25">
      <c r="B38" s="32"/>
      <c r="C38" s="33"/>
      <c r="D38" s="33"/>
      <c r="E38" s="33"/>
      <c r="F38" s="39"/>
      <c r="G38" s="33"/>
      <c r="H38" s="33"/>
      <c r="I38" s="40"/>
    </row>
    <row r="39" spans="2:9" x14ac:dyDescent="0.25">
      <c r="B39" s="32"/>
      <c r="C39" s="33"/>
      <c r="D39" s="33"/>
      <c r="E39" s="33"/>
      <c r="F39" s="39"/>
      <c r="G39" s="33"/>
      <c r="H39" s="33"/>
      <c r="I39" s="40"/>
    </row>
    <row r="40" spans="2:9" x14ac:dyDescent="0.25">
      <c r="B40" s="32"/>
      <c r="C40" s="33"/>
      <c r="D40" s="33"/>
      <c r="E40" s="33"/>
      <c r="F40" s="39"/>
      <c r="G40" s="33"/>
      <c r="H40" s="33"/>
      <c r="I40" s="114"/>
    </row>
    <row r="41" spans="2:9" x14ac:dyDescent="0.25">
      <c r="B41" s="32"/>
      <c r="C41" s="33"/>
      <c r="D41" s="33"/>
      <c r="E41" s="33"/>
      <c r="F41" s="39"/>
      <c r="G41" s="33"/>
      <c r="H41" s="33"/>
      <c r="I41" s="40"/>
    </row>
    <row r="42" spans="2:9" x14ac:dyDescent="0.25">
      <c r="B42" s="32"/>
      <c r="C42" s="33"/>
      <c r="D42" s="33"/>
      <c r="E42" s="33"/>
      <c r="F42" s="39"/>
      <c r="G42" s="33"/>
      <c r="H42" s="33"/>
      <c r="I42" s="40"/>
    </row>
    <row r="43" spans="2:9" x14ac:dyDescent="0.25">
      <c r="B43" s="32"/>
      <c r="C43" s="33"/>
      <c r="D43" s="33"/>
      <c r="E43" s="33"/>
      <c r="F43" s="39"/>
      <c r="G43" s="33"/>
      <c r="H43" s="33"/>
      <c r="I43" s="40"/>
    </row>
    <row r="44" spans="2:9" x14ac:dyDescent="0.25">
      <c r="B44" s="32"/>
      <c r="C44" s="33"/>
      <c r="D44" s="33"/>
      <c r="E44" s="33"/>
      <c r="F44" s="39"/>
      <c r="G44" s="33"/>
      <c r="H44" s="33"/>
      <c r="I44" s="40"/>
    </row>
    <row r="45" spans="2:9" x14ac:dyDescent="0.25">
      <c r="B45" s="32"/>
      <c r="C45" s="33"/>
      <c r="D45" s="33"/>
      <c r="E45" s="33"/>
      <c r="F45" s="39"/>
      <c r="G45" s="33"/>
      <c r="H45" s="33"/>
      <c r="I45" s="40"/>
    </row>
    <row r="46" spans="2:9" x14ac:dyDescent="0.25">
      <c r="B46" s="32"/>
      <c r="C46" s="33"/>
      <c r="D46" s="33"/>
      <c r="E46" s="33"/>
      <c r="F46" s="39"/>
      <c r="G46" s="33"/>
      <c r="H46" s="33"/>
      <c r="I46" s="40"/>
    </row>
    <row r="47" spans="2:9" x14ac:dyDescent="0.25">
      <c r="B47" s="32"/>
      <c r="C47" s="33"/>
      <c r="D47" s="33"/>
      <c r="E47" s="33"/>
      <c r="F47" s="39"/>
      <c r="G47" s="33"/>
      <c r="H47" s="33"/>
      <c r="I47" s="40"/>
    </row>
    <row r="48" spans="2:9" x14ac:dyDescent="0.25">
      <c r="B48" s="32"/>
      <c r="C48" s="33"/>
      <c r="D48" s="33"/>
      <c r="E48" s="33"/>
      <c r="F48" s="39"/>
      <c r="G48" s="33"/>
      <c r="H48" s="33"/>
      <c r="I48" s="40"/>
    </row>
    <row r="49" spans="2:9" x14ac:dyDescent="0.25">
      <c r="B49" s="32"/>
      <c r="C49" s="33"/>
      <c r="D49" s="33"/>
      <c r="E49" s="33"/>
      <c r="F49" s="39"/>
      <c r="G49" s="33"/>
      <c r="H49" s="33"/>
      <c r="I49" s="40"/>
    </row>
  </sheetData>
  <dataValidations count="1">
    <dataValidation type="list" allowBlank="1" showInputMessage="1" showErrorMessage="1" sqref="C5" xr:uid="{3693484C-E37B-4931-8E1F-04F1A8DD3C57}">
      <formula1>INDIRECT("Funcionarios" &amp; "[" &amp; "Nome" &amp; "]")</formula1>
    </dataValidation>
  </dataValidations>
  <pageMargins left="0.511811024" right="0.511811024" top="0.78740157499999996" bottom="0.78740157499999996" header="0.31496062000000002" footer="0.31496062000000002"/>
  <pageSetup paperSize="9" scale="64" orientation="landscape" horizontalDpi="360" verticalDpi="36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7B87F-F63D-4368-AE3F-178395A360E3}">
  <sheetPr codeName="Planilha6"/>
  <dimension ref="A1:P39"/>
  <sheetViews>
    <sheetView workbookViewId="0">
      <selection activeCell="B8" sqref="B8"/>
    </sheetView>
  </sheetViews>
  <sheetFormatPr defaultRowHeight="15" x14ac:dyDescent="0.25"/>
  <cols>
    <col min="1" max="1" width="17.5703125" bestFit="1" customWidth="1"/>
    <col min="2" max="2" width="10.5703125" bestFit="1" customWidth="1"/>
    <col min="3" max="3" width="9.28515625" bestFit="1" customWidth="1"/>
    <col min="4" max="4" width="10.5703125" bestFit="1" customWidth="1"/>
    <col min="9" max="11" width="10.5703125" bestFit="1" customWidth="1"/>
    <col min="13" max="13" width="10.5703125" bestFit="1" customWidth="1"/>
  </cols>
  <sheetData>
    <row r="1" spans="1:16" ht="15.75" thickBot="1" x14ac:dyDescent="0.3">
      <c r="A1" s="8" t="s">
        <v>42</v>
      </c>
      <c r="B1" s="9">
        <v>43763</v>
      </c>
      <c r="C1" s="118" t="s">
        <v>16</v>
      </c>
      <c r="D1" s="9">
        <v>43770</v>
      </c>
      <c r="J1" s="3"/>
      <c r="K1" s="3"/>
    </row>
    <row r="2" spans="1:16" ht="15.75" thickBot="1" x14ac:dyDescent="0.3">
      <c r="A2" s="8" t="s">
        <v>43</v>
      </c>
      <c r="B2" s="9">
        <v>43793</v>
      </c>
      <c r="C2" s="118"/>
      <c r="D2" s="9">
        <v>43783</v>
      </c>
      <c r="J2" s="3"/>
      <c r="K2" s="3"/>
      <c r="O2" s="10"/>
    </row>
    <row r="3" spans="1:16" ht="15.75" thickBot="1" x14ac:dyDescent="0.3">
      <c r="A3" s="8" t="s">
        <v>44</v>
      </c>
      <c r="B3" s="11">
        <f>_xlfn.DAYS(B2,B1)+1</f>
        <v>31</v>
      </c>
      <c r="C3" s="118"/>
      <c r="D3" s="9">
        <v>43788</v>
      </c>
      <c r="J3" s="3"/>
      <c r="O3" s="10"/>
    </row>
    <row r="4" spans="1:16" ht="15.75" thickBot="1" x14ac:dyDescent="0.3">
      <c r="A4" s="8" t="s">
        <v>45</v>
      </c>
      <c r="B4" s="11">
        <f>NETWORKDAYS.INTL(B1,B2,11,Feriados[FE Oficial])</f>
        <v>24</v>
      </c>
      <c r="C4" s="118"/>
      <c r="D4" s="9"/>
      <c r="J4" s="3"/>
      <c r="O4" s="10"/>
    </row>
    <row r="5" spans="1:16" ht="15.75" thickBot="1" x14ac:dyDescent="0.3">
      <c r="A5" s="8" t="s">
        <v>46</v>
      </c>
      <c r="B5" s="11">
        <f>B3-B4</f>
        <v>7</v>
      </c>
      <c r="C5" s="118"/>
      <c r="D5" s="9"/>
      <c r="J5" s="3"/>
      <c r="O5" s="10"/>
    </row>
    <row r="6" spans="1:16" x14ac:dyDescent="0.25">
      <c r="J6" s="3"/>
      <c r="P6" s="10"/>
    </row>
    <row r="7" spans="1:16" x14ac:dyDescent="0.25">
      <c r="J7" s="3"/>
      <c r="O7" s="10"/>
    </row>
    <row r="8" spans="1:16" s="14" customFormat="1" ht="22.9" customHeight="1" x14ac:dyDescent="0.25">
      <c r="A8" s="12" t="s">
        <v>47</v>
      </c>
      <c r="B8" s="13">
        <f>(B9/B4)*B5</f>
        <v>0</v>
      </c>
      <c r="J8" s="3"/>
      <c r="K8" s="3" t="s">
        <v>48</v>
      </c>
      <c r="L8" t="s">
        <v>49</v>
      </c>
      <c r="O8" s="15"/>
    </row>
    <row r="9" spans="1:16" s="14" customFormat="1" ht="22.9" customHeight="1" x14ac:dyDescent="0.25">
      <c r="A9" s="12" t="s">
        <v>50</v>
      </c>
      <c r="B9" s="13">
        <f>'Contra-Cheque'!D15</f>
        <v>0</v>
      </c>
      <c r="J9" s="3"/>
      <c r="K9" s="3">
        <v>43733</v>
      </c>
      <c r="L9" t="str">
        <f>TEXT(K9,"ddd")</f>
        <v>ter</v>
      </c>
      <c r="O9" s="15"/>
    </row>
    <row r="10" spans="1:16" x14ac:dyDescent="0.25">
      <c r="J10" s="3"/>
      <c r="K10" s="3">
        <v>43734</v>
      </c>
      <c r="L10" t="str">
        <f t="shared" ref="L10:L39" si="0">TEXT(K10,"ddd")</f>
        <v>qua</v>
      </c>
      <c r="O10" s="10"/>
    </row>
    <row r="11" spans="1:16" x14ac:dyDescent="0.25">
      <c r="J11" s="3"/>
      <c r="K11" s="3">
        <v>43735</v>
      </c>
      <c r="L11" t="str">
        <f t="shared" si="0"/>
        <v>qui</v>
      </c>
    </row>
    <row r="12" spans="1:16" x14ac:dyDescent="0.25">
      <c r="J12" s="3"/>
      <c r="K12" s="3">
        <v>43736</v>
      </c>
      <c r="L12" t="str">
        <f t="shared" si="0"/>
        <v>sex</v>
      </c>
    </row>
    <row r="13" spans="1:16" x14ac:dyDescent="0.25">
      <c r="J13" s="3"/>
      <c r="K13" s="3">
        <v>43737</v>
      </c>
      <c r="L13" t="str">
        <f t="shared" si="0"/>
        <v>sáb</v>
      </c>
    </row>
    <row r="14" spans="1:16" x14ac:dyDescent="0.25">
      <c r="J14" s="3"/>
      <c r="K14" s="3">
        <v>43738</v>
      </c>
      <c r="L14" t="str">
        <f t="shared" si="0"/>
        <v>dom</v>
      </c>
    </row>
    <row r="15" spans="1:16" x14ac:dyDescent="0.25">
      <c r="J15" s="3"/>
      <c r="K15" s="3">
        <v>43739</v>
      </c>
      <c r="L15" t="str">
        <f t="shared" si="0"/>
        <v>seg</v>
      </c>
    </row>
    <row r="16" spans="1:16" x14ac:dyDescent="0.25">
      <c r="J16" s="3"/>
      <c r="K16" s="3">
        <v>43740</v>
      </c>
      <c r="L16" t="str">
        <f t="shared" si="0"/>
        <v>ter</v>
      </c>
    </row>
    <row r="17" spans="10:12" x14ac:dyDescent="0.25">
      <c r="J17" s="3"/>
      <c r="K17" s="3">
        <v>43741</v>
      </c>
      <c r="L17" t="str">
        <f t="shared" si="0"/>
        <v>qua</v>
      </c>
    </row>
    <row r="18" spans="10:12" x14ac:dyDescent="0.25">
      <c r="J18" s="3"/>
      <c r="K18" s="3">
        <v>43742</v>
      </c>
      <c r="L18" t="str">
        <f t="shared" si="0"/>
        <v>qui</v>
      </c>
    </row>
    <row r="19" spans="10:12" x14ac:dyDescent="0.25">
      <c r="J19" s="3"/>
      <c r="K19" s="3">
        <v>43743</v>
      </c>
      <c r="L19" t="str">
        <f t="shared" si="0"/>
        <v>sex</v>
      </c>
    </row>
    <row r="20" spans="10:12" x14ac:dyDescent="0.25">
      <c r="J20" s="3"/>
      <c r="K20" s="3">
        <v>43744</v>
      </c>
      <c r="L20" t="str">
        <f t="shared" si="0"/>
        <v>sáb</v>
      </c>
    </row>
    <row r="21" spans="10:12" x14ac:dyDescent="0.25">
      <c r="J21" s="3"/>
      <c r="K21" s="3">
        <v>43745</v>
      </c>
      <c r="L21" s="16" t="str">
        <f t="shared" si="0"/>
        <v>dom</v>
      </c>
    </row>
    <row r="22" spans="10:12" x14ac:dyDescent="0.25">
      <c r="J22" s="3"/>
      <c r="K22" s="3">
        <v>43746</v>
      </c>
      <c r="L22" t="str">
        <f t="shared" si="0"/>
        <v>seg</v>
      </c>
    </row>
    <row r="23" spans="10:12" x14ac:dyDescent="0.25">
      <c r="J23" s="3"/>
      <c r="K23" s="3">
        <v>43747</v>
      </c>
      <c r="L23" t="str">
        <f t="shared" si="0"/>
        <v>ter</v>
      </c>
    </row>
    <row r="24" spans="10:12" x14ac:dyDescent="0.25">
      <c r="J24" s="3"/>
      <c r="K24" s="3">
        <v>43748</v>
      </c>
      <c r="L24" t="str">
        <f t="shared" si="0"/>
        <v>qua</v>
      </c>
    </row>
    <row r="25" spans="10:12" x14ac:dyDescent="0.25">
      <c r="J25" s="3"/>
      <c r="K25" s="3">
        <v>43749</v>
      </c>
      <c r="L25" t="str">
        <f t="shared" si="0"/>
        <v>qui</v>
      </c>
    </row>
    <row r="26" spans="10:12" x14ac:dyDescent="0.25">
      <c r="J26" s="3"/>
      <c r="K26" s="3">
        <v>43750</v>
      </c>
      <c r="L26" t="str">
        <f t="shared" si="0"/>
        <v>sex</v>
      </c>
    </row>
    <row r="27" spans="10:12" x14ac:dyDescent="0.25">
      <c r="J27" s="3"/>
      <c r="K27" s="3">
        <v>43751</v>
      </c>
      <c r="L27" t="str">
        <f t="shared" si="0"/>
        <v>sáb</v>
      </c>
    </row>
    <row r="28" spans="10:12" x14ac:dyDescent="0.25">
      <c r="J28" s="3"/>
      <c r="K28" s="3">
        <v>43752</v>
      </c>
      <c r="L28" t="str">
        <f t="shared" si="0"/>
        <v>dom</v>
      </c>
    </row>
    <row r="29" spans="10:12" x14ac:dyDescent="0.25">
      <c r="J29" s="3"/>
      <c r="K29" s="3">
        <v>43753</v>
      </c>
      <c r="L29" t="str">
        <f t="shared" si="0"/>
        <v>seg</v>
      </c>
    </row>
    <row r="30" spans="10:12" x14ac:dyDescent="0.25">
      <c r="J30" s="3"/>
      <c r="K30" s="3">
        <v>43754</v>
      </c>
      <c r="L30" t="str">
        <f t="shared" si="0"/>
        <v>ter</v>
      </c>
    </row>
    <row r="31" spans="10:12" x14ac:dyDescent="0.25">
      <c r="J31" s="3"/>
      <c r="K31" s="3">
        <v>43755</v>
      </c>
      <c r="L31" t="str">
        <f t="shared" si="0"/>
        <v>qua</v>
      </c>
    </row>
    <row r="32" spans="10:12" x14ac:dyDescent="0.25">
      <c r="J32" s="3"/>
      <c r="K32" s="3">
        <v>43756</v>
      </c>
      <c r="L32" t="str">
        <f t="shared" si="0"/>
        <v>qui</v>
      </c>
    </row>
    <row r="33" spans="10:12" x14ac:dyDescent="0.25">
      <c r="J33" s="3"/>
      <c r="K33" s="3">
        <v>43757</v>
      </c>
      <c r="L33" t="str">
        <f t="shared" si="0"/>
        <v>sex</v>
      </c>
    </row>
    <row r="34" spans="10:12" x14ac:dyDescent="0.25">
      <c r="J34" s="3"/>
      <c r="K34" s="3">
        <v>43758</v>
      </c>
      <c r="L34" t="str">
        <f t="shared" si="0"/>
        <v>sáb</v>
      </c>
    </row>
    <row r="35" spans="10:12" x14ac:dyDescent="0.25">
      <c r="J35" s="3"/>
      <c r="K35" s="3">
        <v>43759</v>
      </c>
      <c r="L35" t="str">
        <f t="shared" si="0"/>
        <v>dom</v>
      </c>
    </row>
    <row r="36" spans="10:12" x14ac:dyDescent="0.25">
      <c r="J36" s="3"/>
      <c r="K36" s="3">
        <v>43760</v>
      </c>
      <c r="L36" t="str">
        <f t="shared" si="0"/>
        <v>seg</v>
      </c>
    </row>
    <row r="37" spans="10:12" x14ac:dyDescent="0.25">
      <c r="J37" s="3"/>
      <c r="K37" s="3">
        <v>43761</v>
      </c>
      <c r="L37" t="str">
        <f t="shared" si="0"/>
        <v>ter</v>
      </c>
    </row>
    <row r="38" spans="10:12" x14ac:dyDescent="0.25">
      <c r="J38" s="3"/>
      <c r="K38" s="3">
        <v>43762</v>
      </c>
      <c r="L38" t="str">
        <f t="shared" si="0"/>
        <v>qua</v>
      </c>
    </row>
    <row r="39" spans="10:12" x14ac:dyDescent="0.25">
      <c r="J39" s="3"/>
      <c r="K39" s="3">
        <v>43763</v>
      </c>
      <c r="L39" t="str">
        <f t="shared" si="0"/>
        <v>qui</v>
      </c>
    </row>
  </sheetData>
  <mergeCells count="1">
    <mergeCell ref="C1:C5"/>
  </mergeCells>
  <conditionalFormatting sqref="L1:L2 L8:L1048576">
    <cfRule type="containsText" dxfId="0" priority="1" operator="containsText" text="dom">
      <formula>NOT(ISERROR(SEARCH("dom",L1)))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D22E8-495B-4D50-8D55-880F15866F1F}">
  <sheetPr codeName="Planilha8"/>
  <dimension ref="B2:N30"/>
  <sheetViews>
    <sheetView showGridLines="0" showRowColHeaders="0" zoomScale="110" zoomScaleNormal="110" workbookViewId="0">
      <selection activeCell="E11" sqref="E11"/>
    </sheetView>
  </sheetViews>
  <sheetFormatPr defaultRowHeight="15" outlineLevelRow="1" x14ac:dyDescent="0.25"/>
  <cols>
    <col min="1" max="1" width="3.42578125" customWidth="1"/>
    <col min="2" max="2" width="14" bestFit="1" customWidth="1"/>
    <col min="3" max="3" width="12.42578125" bestFit="1" customWidth="1"/>
    <col min="4" max="4" width="10.140625" bestFit="1" customWidth="1"/>
    <col min="5" max="5" width="12.140625" bestFit="1" customWidth="1"/>
    <col min="6" max="6" width="6.140625" bestFit="1" customWidth="1"/>
    <col min="7" max="7" width="10.28515625" bestFit="1" customWidth="1"/>
    <col min="8" max="8" width="10.140625" customWidth="1"/>
    <col min="9" max="9" width="10.28515625" customWidth="1"/>
    <col min="10" max="10" width="14.28515625" customWidth="1"/>
  </cols>
  <sheetData>
    <row r="2" spans="2:10" x14ac:dyDescent="0.25">
      <c r="B2" s="31" t="s">
        <v>175</v>
      </c>
    </row>
    <row r="3" spans="2:10" ht="22.5" x14ac:dyDescent="0.25">
      <c r="B3" s="48" t="s">
        <v>83</v>
      </c>
      <c r="C3" s="48" t="s">
        <v>172</v>
      </c>
      <c r="D3" s="121" t="s">
        <v>84</v>
      </c>
      <c r="E3" s="121"/>
      <c r="F3" s="121"/>
      <c r="G3" s="121"/>
      <c r="H3" s="49" t="s">
        <v>85</v>
      </c>
      <c r="I3" s="119" t="s">
        <v>86</v>
      </c>
      <c r="J3" s="120"/>
    </row>
    <row r="4" spans="2:10" x14ac:dyDescent="0.25">
      <c r="B4" s="48" t="s">
        <v>87</v>
      </c>
      <c r="C4" s="50" t="s">
        <v>88</v>
      </c>
      <c r="D4" s="122" t="s">
        <v>89</v>
      </c>
      <c r="E4" s="123"/>
      <c r="F4" s="123"/>
      <c r="G4" s="124"/>
      <c r="H4" s="51" t="s">
        <v>90</v>
      </c>
      <c r="I4" s="119" t="s">
        <v>91</v>
      </c>
      <c r="J4" s="120"/>
    </row>
    <row r="5" spans="2:10" x14ac:dyDescent="0.25">
      <c r="B5" s="48" t="s">
        <v>92</v>
      </c>
      <c r="C5" s="119" t="s">
        <v>93</v>
      </c>
      <c r="D5" s="125"/>
      <c r="E5" s="125"/>
      <c r="F5" s="120"/>
      <c r="G5" s="48" t="s">
        <v>94</v>
      </c>
      <c r="H5" s="49" t="s">
        <v>95</v>
      </c>
      <c r="I5" s="48" t="s">
        <v>96</v>
      </c>
      <c r="J5" s="48" t="s">
        <v>97</v>
      </c>
    </row>
    <row r="6" spans="2:10" ht="22.5" x14ac:dyDescent="0.25">
      <c r="B6" s="52" t="s">
        <v>98</v>
      </c>
      <c r="C6" s="126" t="str">
        <f>B2</f>
        <v>Yvens</v>
      </c>
      <c r="D6" s="127"/>
      <c r="E6" s="127"/>
      <c r="F6" s="128"/>
      <c r="G6" s="52" t="s">
        <v>99</v>
      </c>
      <c r="H6" s="53" t="s">
        <v>100</v>
      </c>
      <c r="I6" s="52"/>
      <c r="J6" s="52"/>
    </row>
    <row r="7" spans="2:10" x14ac:dyDescent="0.25">
      <c r="B7" s="129" t="s">
        <v>101</v>
      </c>
      <c r="C7" s="130"/>
      <c r="D7" s="54" t="s">
        <v>102</v>
      </c>
      <c r="E7" s="54" t="s">
        <v>103</v>
      </c>
      <c r="F7" s="54" t="s">
        <v>104</v>
      </c>
      <c r="G7" s="54" t="s">
        <v>105</v>
      </c>
      <c r="H7" s="54" t="s">
        <v>106</v>
      </c>
      <c r="I7" s="55" t="s">
        <v>107</v>
      </c>
      <c r="J7" s="55" t="s">
        <v>108</v>
      </c>
    </row>
    <row r="8" spans="2:10" x14ac:dyDescent="0.25">
      <c r="B8" s="119" t="s">
        <v>109</v>
      </c>
      <c r="C8" s="120"/>
      <c r="D8" s="48"/>
      <c r="E8" s="48"/>
      <c r="F8" s="56">
        <v>0.6</v>
      </c>
      <c r="G8" s="57">
        <v>1350</v>
      </c>
      <c r="H8" s="58"/>
      <c r="I8" s="59"/>
      <c r="J8" s="48"/>
    </row>
    <row r="9" spans="2:10" x14ac:dyDescent="0.25">
      <c r="B9" s="131" t="s">
        <v>110</v>
      </c>
      <c r="C9" s="132"/>
      <c r="D9" s="60"/>
      <c r="E9" s="60"/>
      <c r="F9" s="61">
        <v>1E-3</v>
      </c>
      <c r="G9" s="62">
        <f>D9*E9</f>
        <v>0</v>
      </c>
      <c r="H9" s="63"/>
      <c r="I9" s="64"/>
      <c r="J9" s="60"/>
    </row>
    <row r="10" spans="2:10" x14ac:dyDescent="0.25">
      <c r="B10" s="119" t="s">
        <v>111</v>
      </c>
      <c r="C10" s="120"/>
      <c r="D10" s="48"/>
      <c r="E10" s="48"/>
      <c r="F10" s="56">
        <v>0.14000000000000001</v>
      </c>
      <c r="G10" s="57"/>
      <c r="H10" s="58">
        <f>G8*F10</f>
        <v>189.00000000000003</v>
      </c>
      <c r="I10" s="59"/>
      <c r="J10" s="48"/>
    </row>
    <row r="11" spans="2:10" x14ac:dyDescent="0.25">
      <c r="B11" s="131" t="s">
        <v>112</v>
      </c>
      <c r="C11" s="132"/>
      <c r="D11" s="65">
        <f t="shared" ref="D11" si="0">($G$8/220)*1.5</f>
        <v>9.204545454545455</v>
      </c>
      <c r="E11" s="66"/>
      <c r="F11" s="61">
        <v>0.5</v>
      </c>
      <c r="G11" s="62" t="str">
        <f>IF(E11&lt;&gt;"",(D11*E11)*24,"")</f>
        <v/>
      </c>
      <c r="H11" s="63"/>
      <c r="I11" s="67">
        <f>(G8/220)</f>
        <v>6.1363636363636367</v>
      </c>
      <c r="J11" s="68">
        <f>I11*(1+F11)*E11*24</f>
        <v>0</v>
      </c>
    </row>
    <row r="12" spans="2:10" x14ac:dyDescent="0.25">
      <c r="B12" s="119" t="s">
        <v>112</v>
      </c>
      <c r="C12" s="120"/>
      <c r="D12" s="69">
        <f>($G$8/220)*2</f>
        <v>12.272727272727273</v>
      </c>
      <c r="E12" s="70"/>
      <c r="F12" s="56">
        <v>1</v>
      </c>
      <c r="G12" s="57" t="str">
        <f>IF(E12&lt;&gt;"",(D12*E12)*24,"")</f>
        <v/>
      </c>
      <c r="H12" s="58"/>
      <c r="I12" s="59"/>
      <c r="J12" s="48"/>
    </row>
    <row r="13" spans="2:10" x14ac:dyDescent="0.25">
      <c r="B13" s="131" t="s">
        <v>113</v>
      </c>
      <c r="C13" s="132"/>
      <c r="D13" s="60"/>
      <c r="E13" s="60"/>
      <c r="F13" s="61"/>
      <c r="G13" s="62"/>
      <c r="H13" s="63">
        <v>540</v>
      </c>
      <c r="I13" s="64"/>
      <c r="J13" s="60"/>
    </row>
    <row r="14" spans="2:10" x14ac:dyDescent="0.25">
      <c r="B14" s="119" t="s">
        <v>114</v>
      </c>
      <c r="C14" s="120"/>
      <c r="D14" s="71"/>
      <c r="E14" s="48"/>
      <c r="F14" s="56"/>
      <c r="G14" s="57"/>
      <c r="H14" s="58"/>
      <c r="I14" s="59"/>
      <c r="J14" s="69"/>
    </row>
    <row r="15" spans="2:10" x14ac:dyDescent="0.25">
      <c r="B15" s="131" t="s">
        <v>47</v>
      </c>
      <c r="C15" s="132"/>
      <c r="D15" s="65">
        <f>SUM(G11,G12)</f>
        <v>0</v>
      </c>
      <c r="E15" s="66"/>
      <c r="F15" s="61"/>
      <c r="G15" s="72">
        <f>IF(D15&lt;&gt;"",(D15/Dsr!B4)*Dsr!B5,"")</f>
        <v>0</v>
      </c>
      <c r="H15" s="63" t="str">
        <f>IF(E15&lt;&gt;"",E15*(G8/30)*24,"")</f>
        <v/>
      </c>
      <c r="I15" s="64"/>
      <c r="J15" s="60"/>
    </row>
    <row r="16" spans="2:10" x14ac:dyDescent="0.25">
      <c r="B16" s="119" t="s">
        <v>115</v>
      </c>
      <c r="C16" s="120"/>
      <c r="D16" s="57">
        <f>G8/220</f>
        <v>6.1363636363636367</v>
      </c>
      <c r="E16" s="73">
        <f>IFERROR(SUMIFS(Horas[Desconto],Horas[Data],F_Ponto!P4,Horas[Data],F_Ponto!Q4,Horas[Nome],F_Ponto!C5),"")</f>
        <v>0.75</v>
      </c>
      <c r="F16" s="56"/>
      <c r="G16" s="57"/>
      <c r="H16" s="58">
        <f>IF(E16&lt;&gt;"",(D16*E16)*24,"")</f>
        <v>110.45454545454547</v>
      </c>
      <c r="I16" s="59"/>
      <c r="J16" s="48"/>
    </row>
    <row r="17" spans="2:14" outlineLevel="1" x14ac:dyDescent="0.25">
      <c r="B17" s="131"/>
      <c r="C17" s="132"/>
      <c r="D17" s="60"/>
      <c r="E17" s="60"/>
      <c r="F17" s="61"/>
      <c r="G17" s="62"/>
      <c r="H17" s="63"/>
      <c r="I17" s="64"/>
      <c r="J17" s="60"/>
    </row>
    <row r="18" spans="2:14" outlineLevel="1" x14ac:dyDescent="0.25">
      <c r="B18" s="119"/>
      <c r="C18" s="120"/>
      <c r="D18" s="48"/>
      <c r="E18" s="48"/>
      <c r="F18" s="56"/>
      <c r="G18" s="57"/>
      <c r="H18" s="58"/>
      <c r="I18" s="59"/>
      <c r="J18" s="48"/>
    </row>
    <row r="19" spans="2:14" outlineLevel="1" x14ac:dyDescent="0.25">
      <c r="B19" s="131"/>
      <c r="C19" s="132"/>
      <c r="D19" s="60"/>
      <c r="E19" s="60"/>
      <c r="F19" s="61"/>
      <c r="G19" s="62"/>
      <c r="H19" s="63"/>
      <c r="I19" s="64"/>
      <c r="J19" s="60"/>
    </row>
    <row r="20" spans="2:14" outlineLevel="1" x14ac:dyDescent="0.25">
      <c r="B20" s="119"/>
      <c r="C20" s="120"/>
      <c r="D20" s="48"/>
      <c r="E20" s="48"/>
      <c r="F20" s="56"/>
      <c r="G20" s="57"/>
      <c r="H20" s="58"/>
      <c r="I20" s="59"/>
      <c r="J20" s="48"/>
    </row>
    <row r="21" spans="2:14" outlineLevel="1" x14ac:dyDescent="0.25">
      <c r="B21" s="131"/>
      <c r="C21" s="132"/>
      <c r="D21" s="60"/>
      <c r="E21" s="60"/>
      <c r="F21" s="61"/>
      <c r="G21" s="62"/>
      <c r="H21" s="63"/>
      <c r="I21" s="64"/>
      <c r="J21" s="60"/>
    </row>
    <row r="22" spans="2:14" outlineLevel="1" x14ac:dyDescent="0.25">
      <c r="B22" s="119"/>
      <c r="C22" s="120"/>
      <c r="D22" s="48"/>
      <c r="E22" s="48"/>
      <c r="F22" s="56"/>
      <c r="G22" s="57"/>
      <c r="H22" s="58"/>
      <c r="I22" s="59"/>
      <c r="J22" s="48"/>
    </row>
    <row r="23" spans="2:14" outlineLevel="1" x14ac:dyDescent="0.25">
      <c r="B23" s="131"/>
      <c r="C23" s="132"/>
      <c r="D23" s="60"/>
      <c r="E23" s="60"/>
      <c r="F23" s="61"/>
      <c r="G23" s="62"/>
      <c r="H23" s="63"/>
      <c r="I23" s="64"/>
      <c r="J23" s="60"/>
    </row>
    <row r="24" spans="2:14" outlineLevel="1" x14ac:dyDescent="0.25">
      <c r="B24" s="119"/>
      <c r="C24" s="120"/>
      <c r="D24" s="48"/>
      <c r="E24" s="48"/>
      <c r="F24" s="56"/>
      <c r="G24" s="57"/>
      <c r="H24" s="58"/>
      <c r="I24" s="59"/>
      <c r="J24" s="48"/>
      <c r="N24" s="105"/>
    </row>
    <row r="25" spans="2:14" outlineLevel="1" x14ac:dyDescent="0.25">
      <c r="B25" s="131"/>
      <c r="C25" s="132"/>
      <c r="D25" s="60"/>
      <c r="E25" s="60"/>
      <c r="F25" s="60"/>
      <c r="G25" s="62"/>
      <c r="H25" s="63"/>
      <c r="I25" s="64"/>
      <c r="J25" s="60"/>
    </row>
    <row r="26" spans="2:14" outlineLevel="1" x14ac:dyDescent="0.25">
      <c r="B26" s="119"/>
      <c r="C26" s="120"/>
      <c r="D26" s="48"/>
      <c r="E26" s="48"/>
      <c r="F26" s="48"/>
      <c r="G26" s="74"/>
      <c r="H26" s="58"/>
      <c r="I26" s="59"/>
      <c r="J26" s="48"/>
    </row>
    <row r="27" spans="2:14" x14ac:dyDescent="0.25">
      <c r="B27" s="55" t="s">
        <v>116</v>
      </c>
      <c r="C27" s="55" t="s">
        <v>117</v>
      </c>
      <c r="D27" s="133" t="s">
        <v>118</v>
      </c>
      <c r="E27" s="133"/>
      <c r="F27" s="133"/>
      <c r="G27" s="55" t="s">
        <v>119</v>
      </c>
      <c r="H27" s="75" t="s">
        <v>120</v>
      </c>
      <c r="I27" s="133" t="s">
        <v>121</v>
      </c>
      <c r="J27" s="133"/>
    </row>
    <row r="28" spans="2:14" x14ac:dyDescent="0.25">
      <c r="B28" s="110" t="s">
        <v>171</v>
      </c>
      <c r="C28" s="76">
        <v>310</v>
      </c>
      <c r="D28" s="134" t="s">
        <v>122</v>
      </c>
      <c r="E28" s="134"/>
      <c r="F28" s="134"/>
      <c r="G28" s="77">
        <f>SUM(G8:G26)</f>
        <v>1350</v>
      </c>
      <c r="H28" s="78">
        <f>SUM(H8:H26)</f>
        <v>839.4545454545455</v>
      </c>
      <c r="I28" s="135">
        <f>G28-H28</f>
        <v>510.5454545454545</v>
      </c>
      <c r="J28" s="135"/>
    </row>
    <row r="29" spans="2:14" x14ac:dyDescent="0.25">
      <c r="B29" s="55" t="s">
        <v>123</v>
      </c>
      <c r="C29" s="55" t="s">
        <v>124</v>
      </c>
      <c r="D29" s="55" t="s">
        <v>125</v>
      </c>
      <c r="E29" s="55" t="s">
        <v>126</v>
      </c>
      <c r="F29" s="55" t="s">
        <v>127</v>
      </c>
      <c r="G29" s="55" t="s">
        <v>169</v>
      </c>
      <c r="H29" s="75" t="s">
        <v>170</v>
      </c>
      <c r="I29" s="55" t="s">
        <v>128</v>
      </c>
      <c r="J29" s="55" t="s">
        <v>129</v>
      </c>
    </row>
    <row r="30" spans="2:14" x14ac:dyDescent="0.25">
      <c r="B30" s="55" t="s">
        <v>130</v>
      </c>
      <c r="C30" s="55">
        <v>21285002077</v>
      </c>
      <c r="D30" s="55">
        <v>0</v>
      </c>
      <c r="E30" s="55">
        <v>9</v>
      </c>
      <c r="F30" s="55"/>
      <c r="G30" s="55" t="s">
        <v>6</v>
      </c>
      <c r="H30" s="75" t="s">
        <v>10</v>
      </c>
      <c r="I30" s="55">
        <v>0</v>
      </c>
      <c r="J30" s="55" t="s">
        <v>131</v>
      </c>
    </row>
  </sheetData>
  <mergeCells count="30">
    <mergeCell ref="B25:C25"/>
    <mergeCell ref="B26:C26"/>
    <mergeCell ref="D27:F27"/>
    <mergeCell ref="I27:J27"/>
    <mergeCell ref="D28:F28"/>
    <mergeCell ref="I28:J28"/>
    <mergeCell ref="B24:C24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12:C12"/>
    <mergeCell ref="D3:G3"/>
    <mergeCell ref="I3:J3"/>
    <mergeCell ref="D4:G4"/>
    <mergeCell ref="I4:J4"/>
    <mergeCell ref="C5:F5"/>
    <mergeCell ref="C6:F6"/>
    <mergeCell ref="B7:C7"/>
    <mergeCell ref="B8:C8"/>
    <mergeCell ref="B9:C9"/>
    <mergeCell ref="B10:C10"/>
    <mergeCell ref="B11:C11"/>
  </mergeCells>
  <dataValidations count="1">
    <dataValidation type="list" allowBlank="1" showInputMessage="1" showErrorMessage="1" sqref="B2" xr:uid="{6F4921F4-4594-4862-8660-363B8F30A9A0}">
      <formula1>INDIRECT("FUNCIONARIOS[Funcionário]")</formula1>
    </dataValidation>
  </dataValidations>
  <pageMargins left="0.511811024" right="0.511811024" top="0.78740157499999996" bottom="0.78740157499999996" header="0.31496062000000002" footer="0.31496062000000002"/>
  <pageSetup paperSize="9" orientation="portrait" horizontalDpi="360" verticalDpi="360" r:id="rId1"/>
  <ignoredErrors>
    <ignoredError sqref="B28" numberStoredAsText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1466F-ED9D-43A3-83D7-EB9FE07DD852}">
  <sheetPr codeName="Planilha9"/>
  <dimension ref="A1:U24"/>
  <sheetViews>
    <sheetView topLeftCell="C1" workbookViewId="0">
      <selection activeCell="U1" sqref="U1"/>
    </sheetView>
  </sheetViews>
  <sheetFormatPr defaultRowHeight="15" x14ac:dyDescent="0.25"/>
  <cols>
    <col min="1" max="1" width="12.7109375" bestFit="1" customWidth="1"/>
    <col min="2" max="3" width="11.85546875" bestFit="1" customWidth="1"/>
    <col min="4" max="4" width="13.28515625" bestFit="1" customWidth="1"/>
    <col min="5" max="5" width="10.28515625" bestFit="1" customWidth="1"/>
    <col min="7" max="7" width="11.85546875" customWidth="1"/>
    <col min="8" max="10" width="11.85546875" bestFit="1" customWidth="1"/>
    <col min="11" max="11" width="10.28515625" bestFit="1" customWidth="1"/>
    <col min="14" max="14" width="8.28515625" bestFit="1" customWidth="1"/>
    <col min="15" max="15" width="14.85546875" bestFit="1" customWidth="1"/>
    <col min="16" max="16" width="11.85546875" bestFit="1" customWidth="1"/>
    <col min="17" max="17" width="4" bestFit="1" customWidth="1"/>
    <col min="18" max="18" width="7.7109375" bestFit="1" customWidth="1"/>
    <col min="19" max="19" width="4.5703125" bestFit="1" customWidth="1"/>
    <col min="20" max="20" width="12" bestFit="1" customWidth="1"/>
    <col min="21" max="21" width="5.5703125" bestFit="1" customWidth="1"/>
  </cols>
  <sheetData>
    <row r="1" spans="1:21" x14ac:dyDescent="0.25">
      <c r="I1" t="s">
        <v>132</v>
      </c>
      <c r="J1" s="79">
        <f>[1]Holerite!$G$28</f>
        <v>2152.444602272727</v>
      </c>
      <c r="N1" t="s">
        <v>133</v>
      </c>
      <c r="O1" s="80">
        <v>1350</v>
      </c>
      <c r="P1" t="s">
        <v>134</v>
      </c>
      <c r="Q1" s="81">
        <v>220</v>
      </c>
      <c r="R1" t="s">
        <v>135</v>
      </c>
      <c r="S1" s="82">
        <v>4.1666666666666664E-2</v>
      </c>
      <c r="T1" t="s">
        <v>136</v>
      </c>
      <c r="U1" s="83">
        <v>1.1805555555555555E-2</v>
      </c>
    </row>
    <row r="2" spans="1:21" x14ac:dyDescent="0.25">
      <c r="A2" t="s">
        <v>137</v>
      </c>
      <c r="B2" s="84">
        <v>1754.18</v>
      </c>
      <c r="C2" s="84">
        <v>59.82</v>
      </c>
      <c r="I2" t="s">
        <v>138</v>
      </c>
      <c r="J2" s="79">
        <f>[1]Holerite!I28</f>
        <v>1194.376602272727</v>
      </c>
      <c r="O2" s="81" t="s">
        <v>139</v>
      </c>
      <c r="P2" s="84">
        <f>(O1/Q1/S1)*U1</f>
        <v>1.7386363636363638</v>
      </c>
    </row>
    <row r="3" spans="1:21" x14ac:dyDescent="0.25">
      <c r="O3" s="81" t="s">
        <v>140</v>
      </c>
      <c r="P3" s="85"/>
    </row>
    <row r="4" spans="1:21" x14ac:dyDescent="0.25">
      <c r="P4" s="85"/>
    </row>
    <row r="5" spans="1:21" x14ac:dyDescent="0.25">
      <c r="A5" s="86" t="s">
        <v>141</v>
      </c>
      <c r="B5" s="87"/>
      <c r="C5" s="87"/>
      <c r="D5" s="87"/>
      <c r="E5" s="88"/>
      <c r="G5" s="86" t="s">
        <v>142</v>
      </c>
      <c r="H5" s="87"/>
      <c r="I5" s="87"/>
      <c r="J5" s="87"/>
      <c r="K5" s="88"/>
    </row>
    <row r="6" spans="1:21" x14ac:dyDescent="0.25">
      <c r="A6" s="89" t="s">
        <v>20</v>
      </c>
      <c r="B6" s="89" t="s">
        <v>143</v>
      </c>
      <c r="C6" s="89" t="s">
        <v>144</v>
      </c>
      <c r="D6" s="89" t="s">
        <v>145</v>
      </c>
      <c r="E6" s="89" t="s">
        <v>146</v>
      </c>
      <c r="G6" s="89" t="s">
        <v>20</v>
      </c>
      <c r="H6" s="89" t="s">
        <v>143</v>
      </c>
      <c r="I6" s="89" t="s">
        <v>144</v>
      </c>
      <c r="J6" s="89" t="s">
        <v>145</v>
      </c>
      <c r="K6" s="89" t="s">
        <v>146</v>
      </c>
    </row>
    <row r="7" spans="1:21" x14ac:dyDescent="0.25">
      <c r="A7" s="90" t="s">
        <v>147</v>
      </c>
      <c r="B7" s="91">
        <v>0</v>
      </c>
      <c r="C7" s="91">
        <v>1320</v>
      </c>
      <c r="D7" s="92">
        <v>7.4999999999999997E-2</v>
      </c>
      <c r="E7" s="93">
        <v>0</v>
      </c>
      <c r="G7" s="90" t="s">
        <v>147</v>
      </c>
      <c r="H7" s="93">
        <v>0</v>
      </c>
      <c r="I7" s="93">
        <v>2112</v>
      </c>
      <c r="J7" s="92">
        <v>0</v>
      </c>
      <c r="K7" s="93">
        <v>0</v>
      </c>
    </row>
    <row r="8" spans="1:21" x14ac:dyDescent="0.25">
      <c r="A8" s="90" t="s">
        <v>148</v>
      </c>
      <c r="B8" s="91">
        <v>1320.01</v>
      </c>
      <c r="C8" s="91">
        <v>2571.29</v>
      </c>
      <c r="D8" s="92">
        <v>0.09</v>
      </c>
      <c r="E8" s="93">
        <f>(D8-D7)*C7</f>
        <v>19.8</v>
      </c>
      <c r="G8" s="90" t="s">
        <v>148</v>
      </c>
      <c r="H8" s="93">
        <v>2112.0100000000002</v>
      </c>
      <c r="I8" s="93">
        <v>2826.65</v>
      </c>
      <c r="J8" s="92">
        <v>7.4999999999999997E-2</v>
      </c>
      <c r="K8" s="93">
        <v>158.4</v>
      </c>
    </row>
    <row r="9" spans="1:21" x14ac:dyDescent="0.25">
      <c r="A9" s="90" t="s">
        <v>149</v>
      </c>
      <c r="B9" s="91">
        <v>2571.3000000000002</v>
      </c>
      <c r="C9" s="91">
        <v>3856.94</v>
      </c>
      <c r="D9" s="92">
        <v>0.12</v>
      </c>
      <c r="E9" s="93">
        <f>(D9-D8)*C8+E8</f>
        <v>96.938699999999997</v>
      </c>
      <c r="G9" s="90" t="s">
        <v>149</v>
      </c>
      <c r="H9" s="93">
        <v>2826.66</v>
      </c>
      <c r="I9" s="93">
        <v>3751.05</v>
      </c>
      <c r="J9" s="92">
        <v>0.15</v>
      </c>
      <c r="K9" s="93">
        <v>370.4</v>
      </c>
    </row>
    <row r="10" spans="1:21" x14ac:dyDescent="0.25">
      <c r="A10" s="90" t="s">
        <v>150</v>
      </c>
      <c r="B10" s="91">
        <v>3856.95</v>
      </c>
      <c r="C10" s="91">
        <v>7507.49</v>
      </c>
      <c r="D10" s="92">
        <v>0.14000000000000001</v>
      </c>
      <c r="E10" s="93">
        <f>(D10-D9)*C9+E9</f>
        <v>174.07750000000007</v>
      </c>
      <c r="G10" s="90" t="s">
        <v>150</v>
      </c>
      <c r="H10" s="93">
        <v>3751.06</v>
      </c>
      <c r="I10" s="93">
        <v>4664.68</v>
      </c>
      <c r="J10" s="92">
        <v>0.22500000000000001</v>
      </c>
      <c r="K10" s="93">
        <v>651.73</v>
      </c>
    </row>
    <row r="11" spans="1:21" x14ac:dyDescent="0.25">
      <c r="G11" s="90" t="s">
        <v>151</v>
      </c>
      <c r="H11" s="93">
        <v>4664.68</v>
      </c>
      <c r="I11" s="93">
        <v>4664.6899999999996</v>
      </c>
      <c r="J11" s="92">
        <v>0.27500000000000002</v>
      </c>
      <c r="K11" s="93">
        <v>884.96</v>
      </c>
    </row>
    <row r="13" spans="1:21" ht="28.5" customHeight="1" x14ac:dyDescent="0.25">
      <c r="G13" s="94" t="s">
        <v>152</v>
      </c>
      <c r="H13" s="95"/>
    </row>
    <row r="14" spans="1:21" ht="27.75" customHeight="1" x14ac:dyDescent="0.25">
      <c r="G14" s="94" t="s">
        <v>153</v>
      </c>
      <c r="H14" s="95">
        <v>186.59</v>
      </c>
    </row>
    <row r="15" spans="1:21" x14ac:dyDescent="0.25">
      <c r="G15" s="94" t="s">
        <v>154</v>
      </c>
      <c r="H15" s="96">
        <f>VLOOKUP(J2,B7:D10,3,TRUE)</f>
        <v>7.4999999999999997E-2</v>
      </c>
    </row>
    <row r="17" spans="1:4" ht="45" x14ac:dyDescent="0.25">
      <c r="A17" s="97" t="s">
        <v>155</v>
      </c>
      <c r="B17" s="98"/>
      <c r="D17" s="99" t="s">
        <v>156</v>
      </c>
    </row>
    <row r="18" spans="1:4" x14ac:dyDescent="0.25">
      <c r="A18" s="100" t="s">
        <v>157</v>
      </c>
      <c r="B18" s="100" t="s">
        <v>104</v>
      </c>
      <c r="D18" s="85">
        <v>1320</v>
      </c>
    </row>
    <row r="19" spans="1:4" x14ac:dyDescent="0.25">
      <c r="A19" s="100" t="s">
        <v>158</v>
      </c>
      <c r="B19" s="101">
        <v>0.1</v>
      </c>
    </row>
    <row r="20" spans="1:4" x14ac:dyDescent="0.25">
      <c r="A20" s="100" t="s">
        <v>159</v>
      </c>
      <c r="B20" s="101">
        <v>0.2</v>
      </c>
      <c r="D20" s="102">
        <v>0.1</v>
      </c>
    </row>
    <row r="21" spans="1:4" x14ac:dyDescent="0.25">
      <c r="A21" s="100" t="s">
        <v>160</v>
      </c>
      <c r="B21" s="101">
        <v>0.4</v>
      </c>
    </row>
    <row r="22" spans="1:4" ht="6" customHeight="1" x14ac:dyDescent="0.25"/>
    <row r="23" spans="1:4" x14ac:dyDescent="0.25">
      <c r="A23" s="97" t="s">
        <v>161</v>
      </c>
      <c r="B23" s="98"/>
    </row>
    <row r="24" spans="1:4" x14ac:dyDescent="0.25">
      <c r="A24" s="103" t="s">
        <v>104</v>
      </c>
      <c r="B24" s="104">
        <v>0.3</v>
      </c>
    </row>
  </sheetData>
  <dataValidations count="1">
    <dataValidation type="list" allowBlank="1" showInputMessage="1" showErrorMessage="1" sqref="D20" xr:uid="{F1C56C86-094E-4C6E-B833-C1AD1FC3B4C4}">
      <formula1>$B$19:$B$21</formula1>
    </dataValidation>
  </dataValidations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2F38C-4076-4B1B-992A-E3939A2A7125}">
  <sheetPr codeName="Planilha10"/>
  <dimension ref="A1:I2"/>
  <sheetViews>
    <sheetView workbookViewId="0">
      <selection activeCell="B2" sqref="B2"/>
    </sheetView>
  </sheetViews>
  <sheetFormatPr defaultRowHeight="15" x14ac:dyDescent="0.25"/>
  <cols>
    <col min="1" max="1" width="10.5703125" style="38" bestFit="1" customWidth="1"/>
    <col min="2" max="2" width="9.140625" style="38"/>
  </cols>
  <sheetData>
    <row r="1" spans="1:9" x14ac:dyDescent="0.25">
      <c r="A1" s="38" t="s">
        <v>162</v>
      </c>
      <c r="B1" s="38" t="s">
        <v>163</v>
      </c>
    </row>
    <row r="2" spans="1:9" x14ac:dyDescent="0.25">
      <c r="A2" s="32">
        <v>43729</v>
      </c>
      <c r="B2" s="33">
        <v>1.6666666666666666E-2</v>
      </c>
      <c r="F2" t="s">
        <v>164</v>
      </c>
      <c r="G2" s="105">
        <f>SUM(B:B)</f>
        <v>1.6666666666666666E-2</v>
      </c>
      <c r="I2" s="85">
        <f>G2*9.2</f>
        <v>0.15333333333333332</v>
      </c>
    </row>
  </sheetData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11</vt:i4>
      </vt:variant>
      <vt:variant>
        <vt:lpstr>Intervalos Nomeados</vt:lpstr>
      </vt:variant>
      <vt:variant>
        <vt:i4>7</vt:i4>
      </vt:variant>
    </vt:vector>
  </HeadingPairs>
  <TitlesOfParts>
    <vt:vector size="18" baseType="lpstr">
      <vt:lpstr>Planilha1</vt:lpstr>
      <vt:lpstr>Menu</vt:lpstr>
      <vt:lpstr>Cadastro</vt:lpstr>
      <vt:lpstr>Funcionarios</vt:lpstr>
      <vt:lpstr>Lançamento de Horas</vt:lpstr>
      <vt:lpstr>Feriados</vt:lpstr>
      <vt:lpstr>F_Ponto</vt:lpstr>
      <vt:lpstr>Dsr</vt:lpstr>
      <vt:lpstr>Contra-Cheque</vt:lpstr>
      <vt:lpstr>Bizu</vt:lpstr>
      <vt:lpstr>INTERJORNADA</vt:lpstr>
      <vt:lpstr>F_Ponto!Area_de_extracao</vt:lpstr>
      <vt:lpstr>'Lançamento de Horas'!Area_de_extracao</vt:lpstr>
      <vt:lpstr>'Contra-Cheque'!Area_de_impressao</vt:lpstr>
      <vt:lpstr>F_Ponto!Area_de_impressao</vt:lpstr>
      <vt:lpstr>F_Ponto!Criterios</vt:lpstr>
      <vt:lpstr>'Lançamento de Horas'!Criterios</vt:lpstr>
      <vt:lpstr>Referencia_Filtro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Rhuan Santos Alves</dc:creator>
  <cp:lastModifiedBy>Rhuan santos alves</cp:lastModifiedBy>
  <cp:lastPrinted>2023-12-14T13:05:45Z</cp:lastPrinted>
  <dcterms:created xsi:type="dcterms:W3CDTF">2023-10-21T12:09:06Z</dcterms:created>
  <dcterms:modified xsi:type="dcterms:W3CDTF">2024-04-02T12:52:59Z</dcterms:modified>
</cp:coreProperties>
</file>